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6525" firstSheet="2" activeTab="4"/>
  </bookViews>
  <sheets>
    <sheet name="κατά επαρχία και φύλο το 2018" sheetId="1" r:id="rId1"/>
    <sheet name="κατά επαρχία,  μήνα 2017,2018" sheetId="8" r:id="rId2"/>
    <sheet name="κατά φύλο, μήνα 2017,2018" sheetId="4" r:id="rId3"/>
    <sheet name="άνεργοι κατά μήνα 2007-2018" sheetId="6" r:id="rId4"/>
    <sheet name="δικ κατά μήν και κοιν 2017-2018" sheetId="10" r:id="rId5"/>
    <sheet name="δικ, ποσό πληρ. κατά μήνα 11-18" sheetId="5" r:id="rId6"/>
    <sheet name="άνεργοι κατά οικ. δραστ.1.2018" sheetId="11" r:id="rId7"/>
    <sheet name="άνεργοι κατά οικ. δραστ. 2.2018" sheetId="12" r:id="rId8"/>
    <sheet name="άνεργοι κατά οικ. δρστ. 3.2018" sheetId="13" r:id="rId9"/>
    <sheet name="άνεργοι κατά οικ. δραστ. 4.2018" sheetId="14" r:id="rId10"/>
    <sheet name="άνεργοι κατά οικ. δραστ. 5.2018" sheetId="15" r:id="rId11"/>
    <sheet name="άνεργοι κατά οικ. δρ. 6.2018" sheetId="16" r:id="rId12"/>
    <sheet name="άνεργοι κατά οικ. δρ. 7.2018" sheetId="17" r:id="rId13"/>
    <sheet name="άνεργοι κατά οικ. δρ. 8.18" sheetId="18" r:id="rId14"/>
    <sheet name="ανεργοι κατά οικ. δρ.9.18" sheetId="19" r:id="rId15"/>
    <sheet name="ανεργοι κατά οικ. δρ.10.18" sheetId="20" r:id="rId16"/>
    <sheet name="ανεργοι κατά οικ. δρ.11.18" sheetId="21" r:id="rId17"/>
    <sheet name="ανεργοι κατά οικ. δρ.12.18" sheetId="22" r:id="rId18"/>
  </sheets>
  <definedNames>
    <definedName name="_xlnm._FilterDatabase" localSheetId="5" hidden="1">'δικ, ποσό πληρ. κατά μήνα 11-18'!$J$22:$L$22</definedName>
    <definedName name="_xlnm.Print_Area" localSheetId="5">'δικ, ποσό πληρ. κατά μήνα 11-18'!$A$1:$AM$33</definedName>
  </definedNames>
  <calcPr calcId="124519"/>
</workbook>
</file>

<file path=xl/calcChain.xml><?xml version="1.0" encoding="utf-8"?>
<calcChain xmlns="http://schemas.openxmlformats.org/spreadsheetml/2006/main">
  <c r="M20" i="10"/>
  <c r="I20"/>
  <c r="J20"/>
  <c r="K20"/>
  <c r="L20"/>
  <c r="H20"/>
  <c r="I19"/>
  <c r="J19"/>
  <c r="K19"/>
  <c r="L19"/>
  <c r="H19"/>
  <c r="M19"/>
  <c r="M13"/>
  <c r="L14"/>
  <c r="M14" s="1"/>
  <c r="L15"/>
  <c r="M15" s="1"/>
  <c r="L16"/>
  <c r="M16" s="1"/>
  <c r="L17"/>
  <c r="M17" s="1"/>
  <c r="L18"/>
  <c r="M18" s="1"/>
  <c r="L13"/>
  <c r="M12"/>
  <c r="I12"/>
  <c r="J12"/>
  <c r="K12"/>
  <c r="L12"/>
  <c r="H12"/>
  <c r="M7"/>
  <c r="M8"/>
  <c r="M9"/>
  <c r="M10"/>
  <c r="M11"/>
  <c r="M6"/>
  <c r="L7"/>
  <c r="L8"/>
  <c r="L9"/>
  <c r="L10"/>
  <c r="L11"/>
  <c r="L6"/>
  <c r="H27" i="4"/>
  <c r="H27" i="1"/>
  <c r="AK19" i="5" l="1"/>
  <c r="AM19" s="1"/>
  <c r="Z20" i="6"/>
  <c r="AK18" i="5"/>
  <c r="AM18" s="1"/>
  <c r="N24" i="8"/>
  <c r="I24"/>
  <c r="J24"/>
  <c r="K24"/>
  <c r="L24"/>
  <c r="M24"/>
  <c r="H24"/>
  <c r="F28" i="22" l="1"/>
  <c r="F22"/>
  <c r="F20"/>
  <c r="F19"/>
  <c r="F18"/>
  <c r="F17"/>
  <c r="F16"/>
  <c r="F15"/>
  <c r="F12"/>
  <c r="F9"/>
  <c r="Z19" i="6"/>
  <c r="Z18"/>
  <c r="Y20"/>
  <c r="Y19"/>
  <c r="Y18"/>
  <c r="K25" i="4"/>
  <c r="J25"/>
  <c r="I25"/>
  <c r="H25"/>
  <c r="G25"/>
  <c r="J23"/>
  <c r="H23"/>
  <c r="I23"/>
  <c r="K23"/>
  <c r="G23"/>
  <c r="K21"/>
  <c r="J21"/>
  <c r="I21"/>
  <c r="H21"/>
  <c r="G21"/>
  <c r="N22" i="8"/>
  <c r="I22"/>
  <c r="J22"/>
  <c r="K22"/>
  <c r="L22"/>
  <c r="M22"/>
  <c r="H22"/>
  <c r="N20"/>
  <c r="M20"/>
  <c r="L20"/>
  <c r="K20"/>
  <c r="J20"/>
  <c r="I20"/>
  <c r="H20"/>
  <c r="R24" i="1"/>
  <c r="P24"/>
  <c r="O24"/>
  <c r="J24"/>
  <c r="K24"/>
  <c r="L24"/>
  <c r="M24"/>
  <c r="N24"/>
  <c r="I24"/>
  <c r="H24"/>
  <c r="C24"/>
  <c r="D24"/>
  <c r="E24"/>
  <c r="F24"/>
  <c r="G24"/>
  <c r="B24"/>
  <c r="R22"/>
  <c r="O22"/>
  <c r="H22"/>
  <c r="P22"/>
  <c r="J22"/>
  <c r="K22"/>
  <c r="L22"/>
  <c r="M22"/>
  <c r="N22"/>
  <c r="I22"/>
  <c r="G22"/>
  <c r="C22"/>
  <c r="D22"/>
  <c r="E22"/>
  <c r="F22"/>
  <c r="B22"/>
  <c r="N20"/>
  <c r="P20"/>
  <c r="R20" s="1"/>
  <c r="G20"/>
  <c r="H20" l="1"/>
  <c r="O20"/>
  <c r="AL22" i="5"/>
  <c r="AJ21"/>
  <c r="AI21"/>
  <c r="AH21"/>
  <c r="AL20"/>
  <c r="AJ20"/>
  <c r="AH20"/>
  <c r="AH19"/>
  <c r="AJ19" s="1"/>
  <c r="AJ18"/>
  <c r="AH18"/>
  <c r="AK17"/>
  <c r="AJ17"/>
  <c r="AH17"/>
  <c r="AK16"/>
  <c r="AJ16"/>
  <c r="AH16"/>
  <c r="AK15"/>
  <c r="AJ15"/>
  <c r="AH15"/>
  <c r="AK14"/>
  <c r="AJ14"/>
  <c r="AH14"/>
  <c r="AL13"/>
  <c r="AL21" s="1"/>
  <c r="AJ13"/>
  <c r="AI13"/>
  <c r="AH13"/>
  <c r="AK12"/>
  <c r="AM12" s="1"/>
  <c r="AJ12"/>
  <c r="AH12"/>
  <c r="AK11"/>
  <c r="AM11" s="1"/>
  <c r="AJ11"/>
  <c r="AH11"/>
  <c r="AK10"/>
  <c r="AM10" s="1"/>
  <c r="AJ10"/>
  <c r="AH10"/>
  <c r="AK9"/>
  <c r="AM9" s="1"/>
  <c r="AJ9"/>
  <c r="AH9"/>
  <c r="AK8"/>
  <c r="AM8" s="1"/>
  <c r="AJ8"/>
  <c r="AH8"/>
  <c r="AK7"/>
  <c r="AJ7"/>
  <c r="AH7"/>
  <c r="F28" i="21"/>
  <c r="F22"/>
  <c r="F18"/>
  <c r="F17"/>
  <c r="F15"/>
  <c r="F12"/>
  <c r="I20" i="4"/>
  <c r="G20"/>
  <c r="K20" s="1"/>
  <c r="L19" i="8"/>
  <c r="K19"/>
  <c r="J19"/>
  <c r="I19"/>
  <c r="H19"/>
  <c r="M19" s="1"/>
  <c r="N19" s="1"/>
  <c r="N19" i="1"/>
  <c r="P19"/>
  <c r="H19" s="1"/>
  <c r="G19"/>
  <c r="F28" i="20"/>
  <c r="F27"/>
  <c r="F22"/>
  <c r="F20"/>
  <c r="F18"/>
  <c r="F17"/>
  <c r="F15"/>
  <c r="F12"/>
  <c r="I19" i="4"/>
  <c r="G19"/>
  <c r="L18" i="8"/>
  <c r="K18"/>
  <c r="J18"/>
  <c r="I18"/>
  <c r="M18" s="1"/>
  <c r="N18" s="1"/>
  <c r="H18"/>
  <c r="R18" i="1"/>
  <c r="P18"/>
  <c r="O18"/>
  <c r="N18"/>
  <c r="H18"/>
  <c r="G18"/>
  <c r="R17"/>
  <c r="F28" i="19"/>
  <c r="F27"/>
  <c r="F22"/>
  <c r="F17"/>
  <c r="F15"/>
  <c r="F12"/>
  <c r="I18" i="4"/>
  <c r="G18"/>
  <c r="L17" i="8"/>
  <c r="K17"/>
  <c r="J17"/>
  <c r="I17"/>
  <c r="M17" s="1"/>
  <c r="N17" s="1"/>
  <c r="H17"/>
  <c r="P17" i="1"/>
  <c r="N17"/>
  <c r="G17"/>
  <c r="F29" i="18"/>
  <c r="F28"/>
  <c r="F23"/>
  <c r="F18"/>
  <c r="F16"/>
  <c r="F14"/>
  <c r="F13"/>
  <c r="I17" i="4"/>
  <c r="J17" s="1"/>
  <c r="G17"/>
  <c r="K17" s="1"/>
  <c r="Y14" i="6" s="1"/>
  <c r="Z14" s="1"/>
  <c r="L16" i="8"/>
  <c r="K16"/>
  <c r="J16"/>
  <c r="I16"/>
  <c r="M16" s="1"/>
  <c r="N16" s="1"/>
  <c r="H16"/>
  <c r="R16" i="1"/>
  <c r="P16"/>
  <c r="O16"/>
  <c r="N16"/>
  <c r="H16"/>
  <c r="G16"/>
  <c r="F28" i="17"/>
  <c r="F22"/>
  <c r="F19"/>
  <c r="F17"/>
  <c r="F15"/>
  <c r="F14"/>
  <c r="F13"/>
  <c r="F9"/>
  <c r="I16" i="4"/>
  <c r="G16"/>
  <c r="M15" i="8"/>
  <c r="N15" s="1"/>
  <c r="L15"/>
  <c r="K15"/>
  <c r="J15"/>
  <c r="I15"/>
  <c r="H15"/>
  <c r="R15" i="1"/>
  <c r="O15"/>
  <c r="H15"/>
  <c r="P15"/>
  <c r="N15"/>
  <c r="G15"/>
  <c r="H6" i="6"/>
  <c r="G7"/>
  <c r="G12" s="1"/>
  <c r="H8"/>
  <c r="G9"/>
  <c r="H9"/>
  <c r="H10"/>
  <c r="H20" s="1"/>
  <c r="H11"/>
  <c r="B12"/>
  <c r="C12"/>
  <c r="D12"/>
  <c r="E12"/>
  <c r="F12"/>
  <c r="H12"/>
  <c r="I12"/>
  <c r="J12"/>
  <c r="K12"/>
  <c r="G13"/>
  <c r="G19" s="1"/>
  <c r="H13"/>
  <c r="H19" s="1"/>
  <c r="H14"/>
  <c r="H15"/>
  <c r="G16"/>
  <c r="H16"/>
  <c r="F17"/>
  <c r="F20" s="1"/>
  <c r="F18"/>
  <c r="H18"/>
  <c r="B19"/>
  <c r="C19"/>
  <c r="D19"/>
  <c r="E19"/>
  <c r="F19"/>
  <c r="I19"/>
  <c r="J19"/>
  <c r="K19"/>
  <c r="B20"/>
  <c r="C20"/>
  <c r="D20"/>
  <c r="E20"/>
  <c r="G20"/>
  <c r="I20"/>
  <c r="J20"/>
  <c r="K20"/>
  <c r="F28" i="16"/>
  <c r="F19"/>
  <c r="F15"/>
  <c r="F14"/>
  <c r="F13"/>
  <c r="F9"/>
  <c r="I13" i="4"/>
  <c r="G13"/>
  <c r="K13" s="1"/>
  <c r="L12" i="8"/>
  <c r="K12"/>
  <c r="J12"/>
  <c r="I12"/>
  <c r="H12"/>
  <c r="M12" s="1"/>
  <c r="N12" s="1"/>
  <c r="R14" i="1"/>
  <c r="P14"/>
  <c r="O14"/>
  <c r="H14"/>
  <c r="J14"/>
  <c r="K14"/>
  <c r="L14"/>
  <c r="M14"/>
  <c r="N14"/>
  <c r="I14"/>
  <c r="D14"/>
  <c r="E14"/>
  <c r="F14"/>
  <c r="G14"/>
  <c r="C14"/>
  <c r="B14"/>
  <c r="AM17" i="5" l="1"/>
  <c r="AK20"/>
  <c r="AM20" s="1"/>
  <c r="AM16"/>
  <c r="AM15"/>
  <c r="AM14"/>
  <c r="AK13"/>
  <c r="AM7"/>
  <c r="J13" i="4"/>
  <c r="Y11" i="6"/>
  <c r="Z11" s="1"/>
  <c r="H13" i="4"/>
  <c r="J19"/>
  <c r="Y17" i="6"/>
  <c r="Z17" s="1"/>
  <c r="H20" i="4"/>
  <c r="J20"/>
  <c r="K18"/>
  <c r="Y15" i="6" s="1"/>
  <c r="Z15" s="1"/>
  <c r="K19" i="4"/>
  <c r="Y16" i="6" s="1"/>
  <c r="Z16" s="1"/>
  <c r="K16" i="4"/>
  <c r="Y13" i="6" s="1"/>
  <c r="Z13" s="1"/>
  <c r="H17" i="4"/>
  <c r="O19" i="1"/>
  <c r="R19"/>
  <c r="O17"/>
  <c r="H17"/>
  <c r="J16" i="4"/>
  <c r="H16"/>
  <c r="N12" i="1"/>
  <c r="P12"/>
  <c r="R12" s="1"/>
  <c r="G12"/>
  <c r="AM13" i="5" l="1"/>
  <c r="AK21"/>
  <c r="AM21" s="1"/>
  <c r="H19" i="4"/>
  <c r="H18"/>
  <c r="J18"/>
  <c r="H12" i="1"/>
  <c r="O12"/>
  <c r="F29" i="15"/>
  <c r="F26"/>
  <c r="F20"/>
  <c r="F16"/>
  <c r="F15"/>
  <c r="F14"/>
  <c r="F10"/>
  <c r="L11" i="8"/>
  <c r="K11"/>
  <c r="J11"/>
  <c r="I11"/>
  <c r="H11"/>
  <c r="N11" i="1"/>
  <c r="I12" i="4" s="1"/>
  <c r="G11" i="1"/>
  <c r="G12" i="4" s="1"/>
  <c r="F29" i="14"/>
  <c r="F26"/>
  <c r="F20"/>
  <c r="F16"/>
  <c r="F14"/>
  <c r="L10" i="8"/>
  <c r="K10"/>
  <c r="J10"/>
  <c r="I10"/>
  <c r="H10"/>
  <c r="N10" i="1"/>
  <c r="I11" i="4" s="1"/>
  <c r="G10" i="1"/>
  <c r="M11" i="8" l="1"/>
  <c r="N11" s="1"/>
  <c r="K12" i="4"/>
  <c r="Y10" i="6" s="1"/>
  <c r="Z10" s="1"/>
  <c r="P11" i="1"/>
  <c r="H11" s="1"/>
  <c r="O11"/>
  <c r="P10"/>
  <c r="R10" s="1"/>
  <c r="M10" i="8"/>
  <c r="N10" s="1"/>
  <c r="O10" i="1"/>
  <c r="G11" i="4"/>
  <c r="H10" i="1"/>
  <c r="F28" i="13"/>
  <c r="F25"/>
  <c r="F22"/>
  <c r="F15"/>
  <c r="F13"/>
  <c r="J12" i="4" l="1"/>
  <c r="R11" i="1"/>
  <c r="H12" i="4"/>
  <c r="K11"/>
  <c r="H11" s="1"/>
  <c r="G10"/>
  <c r="L9" i="8"/>
  <c r="K9"/>
  <c r="J9"/>
  <c r="I9"/>
  <c r="M9" s="1"/>
  <c r="N9" s="1"/>
  <c r="H9"/>
  <c r="N9" i="1"/>
  <c r="I10" i="4" s="1"/>
  <c r="G9" i="1"/>
  <c r="P9" s="1"/>
  <c r="F25" i="12"/>
  <c r="F20"/>
  <c r="F28"/>
  <c r="F22"/>
  <c r="F15"/>
  <c r="F13"/>
  <c r="F7"/>
  <c r="I9" i="4"/>
  <c r="L8" i="8"/>
  <c r="K8"/>
  <c r="J8"/>
  <c r="I8"/>
  <c r="H8"/>
  <c r="N8" i="1"/>
  <c r="G8"/>
  <c r="G9" i="4" s="1"/>
  <c r="M8" i="8" l="1"/>
  <c r="N8" s="1"/>
  <c r="K10" i="4"/>
  <c r="Y8" i="6" s="1"/>
  <c r="Z8" s="1"/>
  <c r="K9" i="4"/>
  <c r="Y7" i="6" s="1"/>
  <c r="Z7" s="1"/>
  <c r="O9" i="1"/>
  <c r="H9"/>
  <c r="R9"/>
  <c r="P8"/>
  <c r="H8"/>
  <c r="J11" i="4"/>
  <c r="Y9" i="6"/>
  <c r="Z9" s="1"/>
  <c r="F28" i="11"/>
  <c r="F22"/>
  <c r="F20"/>
  <c r="F18"/>
  <c r="F17"/>
  <c r="F15"/>
  <c r="F13"/>
  <c r="F9"/>
  <c r="F7"/>
  <c r="D30"/>
  <c r="H7" i="8"/>
  <c r="H14" s="1"/>
  <c r="H10" i="4" l="1"/>
  <c r="H9"/>
  <c r="R8" i="1"/>
  <c r="O8"/>
  <c r="J9" i="4"/>
  <c r="J10"/>
  <c r="F30" i="20" l="1"/>
  <c r="C30" i="19" l="1"/>
  <c r="F30" i="17" l="1"/>
  <c r="E30" i="16" l="1"/>
  <c r="F30" l="1"/>
  <c r="Y21" i="5" l="1"/>
  <c r="Y20"/>
  <c r="D30" i="13" l="1"/>
  <c r="G28" i="20" l="1"/>
  <c r="E30" i="17" l="1"/>
  <c r="V20" i="5" l="1"/>
  <c r="AA20" s="1"/>
  <c r="D31" i="15" l="1"/>
  <c r="G10" i="14"/>
  <c r="D31"/>
  <c r="C31"/>
  <c r="G8"/>
  <c r="T20" i="6" l="1"/>
  <c r="U20"/>
  <c r="U19" l="1"/>
  <c r="U12"/>
  <c r="G26" i="21" l="1"/>
  <c r="G27"/>
  <c r="G28"/>
  <c r="D30" i="20"/>
  <c r="G9" i="19" l="1"/>
  <c r="C31" i="18" l="1"/>
  <c r="G9" i="14" l="1"/>
  <c r="G11"/>
  <c r="G12"/>
  <c r="G18"/>
  <c r="G19"/>
  <c r="G20"/>
  <c r="G22"/>
  <c r="G23"/>
  <c r="G24"/>
  <c r="G25"/>
  <c r="G26"/>
  <c r="G27"/>
  <c r="G28"/>
  <c r="G30"/>
  <c r="G29"/>
  <c r="G21"/>
  <c r="G17"/>
  <c r="G16"/>
  <c r="G15"/>
  <c r="G14"/>
  <c r="G13"/>
  <c r="G31" l="1"/>
  <c r="H30" s="1"/>
  <c r="I7" i="8"/>
  <c r="I14" s="1"/>
  <c r="J7"/>
  <c r="J14" s="1"/>
  <c r="K7"/>
  <c r="K14" s="1"/>
  <c r="L7"/>
  <c r="L14" s="1"/>
  <c r="P13" i="5"/>
  <c r="Q13"/>
  <c r="P20"/>
  <c r="Q20"/>
  <c r="P21"/>
  <c r="E30" i="22"/>
  <c r="D30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30"/>
  <c r="G8"/>
  <c r="G7"/>
  <c r="W13" i="5"/>
  <c r="G17" i="21"/>
  <c r="E30"/>
  <c r="D30"/>
  <c r="C30"/>
  <c r="G29"/>
  <c r="G25"/>
  <c r="G24"/>
  <c r="G23"/>
  <c r="G22"/>
  <c r="G21"/>
  <c r="G20"/>
  <c r="G19"/>
  <c r="G18"/>
  <c r="G16"/>
  <c r="G15"/>
  <c r="G14"/>
  <c r="G13"/>
  <c r="G12"/>
  <c r="G11"/>
  <c r="G10"/>
  <c r="F30"/>
  <c r="G8"/>
  <c r="G7"/>
  <c r="A29" i="8"/>
  <c r="A29" i="4" s="1"/>
  <c r="A25" i="6" s="1"/>
  <c r="A26" i="10" s="1"/>
  <c r="A30" i="5" s="1"/>
  <c r="W20"/>
  <c r="E30" i="20"/>
  <c r="C30"/>
  <c r="G29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30" i="19"/>
  <c r="E30"/>
  <c r="D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8"/>
  <c r="G7"/>
  <c r="F31" i="18"/>
  <c r="E31"/>
  <c r="D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30" i="17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D30" i="16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T12" i="6"/>
  <c r="G30" i="15"/>
  <c r="F31"/>
  <c r="C31"/>
  <c r="G29"/>
  <c r="G28"/>
  <c r="G27"/>
  <c r="G26"/>
  <c r="G25"/>
  <c r="G24"/>
  <c r="G23"/>
  <c r="G22"/>
  <c r="G21"/>
  <c r="G20"/>
  <c r="G19"/>
  <c r="G18"/>
  <c r="G17"/>
  <c r="E31"/>
  <c r="G15"/>
  <c r="G14"/>
  <c r="G13"/>
  <c r="G12"/>
  <c r="G11"/>
  <c r="G10"/>
  <c r="G9"/>
  <c r="G8"/>
  <c r="U19" i="5"/>
  <c r="S21"/>
  <c r="S20"/>
  <c r="F31" i="14"/>
  <c r="F30" i="13"/>
  <c r="C30"/>
  <c r="G29"/>
  <c r="G28"/>
  <c r="G27"/>
  <c r="G26"/>
  <c r="G25"/>
  <c r="G24"/>
  <c r="G23"/>
  <c r="G22"/>
  <c r="G21"/>
  <c r="G20"/>
  <c r="G19"/>
  <c r="G18"/>
  <c r="G17"/>
  <c r="G16"/>
  <c r="G15"/>
  <c r="E30"/>
  <c r="G14"/>
  <c r="G13"/>
  <c r="G12"/>
  <c r="G11"/>
  <c r="G10"/>
  <c r="G9"/>
  <c r="G8"/>
  <c r="G7"/>
  <c r="F30" i="12"/>
  <c r="C30"/>
  <c r="G29"/>
  <c r="G28"/>
  <c r="G27"/>
  <c r="G26"/>
  <c r="G25"/>
  <c r="G24"/>
  <c r="G23"/>
  <c r="G22"/>
  <c r="G21"/>
  <c r="G20"/>
  <c r="G19"/>
  <c r="G18"/>
  <c r="G17"/>
  <c r="G16"/>
  <c r="E30"/>
  <c r="D30"/>
  <c r="G14"/>
  <c r="G13"/>
  <c r="G12"/>
  <c r="G11"/>
  <c r="G10"/>
  <c r="G9"/>
  <c r="G8"/>
  <c r="G7"/>
  <c r="U18" i="5"/>
  <c r="U17"/>
  <c r="U16"/>
  <c r="U15"/>
  <c r="U14"/>
  <c r="F30" i="11"/>
  <c r="E30"/>
  <c r="C30"/>
  <c r="S20" i="6"/>
  <c r="S19"/>
  <c r="U12" i="5"/>
  <c r="U11"/>
  <c r="S13"/>
  <c r="G29" i="1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S12" i="6"/>
  <c r="U10" i="5"/>
  <c r="U9"/>
  <c r="U8"/>
  <c r="U7"/>
  <c r="R19"/>
  <c r="R18"/>
  <c r="R17"/>
  <c r="T20"/>
  <c r="T13"/>
  <c r="L20" i="6"/>
  <c r="L19"/>
  <c r="L12"/>
  <c r="R16" i="5"/>
  <c r="R15"/>
  <c r="R14"/>
  <c r="R19" i="6"/>
  <c r="R20"/>
  <c r="H13" i="5"/>
  <c r="L13" s="1"/>
  <c r="F13"/>
  <c r="D13"/>
  <c r="B13"/>
  <c r="E20"/>
  <c r="D20"/>
  <c r="E13"/>
  <c r="M21"/>
  <c r="M20"/>
  <c r="M13"/>
  <c r="J13"/>
  <c r="Q20" i="6"/>
  <c r="P20"/>
  <c r="O20"/>
  <c r="N20"/>
  <c r="M20"/>
  <c r="M19"/>
  <c r="Q19"/>
  <c r="P19"/>
  <c r="O19"/>
  <c r="N19"/>
  <c r="R12"/>
  <c r="Q12"/>
  <c r="P12"/>
  <c r="O12"/>
  <c r="N12"/>
  <c r="M12"/>
  <c r="R12" i="5"/>
  <c r="R11"/>
  <c r="R10"/>
  <c r="R9"/>
  <c r="R8"/>
  <c r="R7"/>
  <c r="L7"/>
  <c r="L8"/>
  <c r="L9"/>
  <c r="L10"/>
  <c r="L11"/>
  <c r="L12"/>
  <c r="I13"/>
  <c r="K13"/>
  <c r="L14"/>
  <c r="L15"/>
  <c r="L16"/>
  <c r="L17"/>
  <c r="L18"/>
  <c r="L19"/>
  <c r="H20"/>
  <c r="L20" s="1"/>
  <c r="I20"/>
  <c r="J20"/>
  <c r="K20"/>
  <c r="H21"/>
  <c r="J21"/>
  <c r="O19"/>
  <c r="O18"/>
  <c r="O20"/>
  <c r="O17"/>
  <c r="O16"/>
  <c r="O15"/>
  <c r="O14"/>
  <c r="O12"/>
  <c r="O11"/>
  <c r="N13"/>
  <c r="O10"/>
  <c r="O9"/>
  <c r="O8"/>
  <c r="N7" i="1"/>
  <c r="O7" i="5"/>
  <c r="N20"/>
  <c r="C13"/>
  <c r="G13"/>
  <c r="B20"/>
  <c r="C20"/>
  <c r="F20"/>
  <c r="G20"/>
  <c r="G21" s="1"/>
  <c r="G7" i="1"/>
  <c r="G8" i="4" s="1"/>
  <c r="G15" s="1"/>
  <c r="G15" i="12"/>
  <c r="E31" i="14"/>
  <c r="G16" i="15"/>
  <c r="G9" i="21"/>
  <c r="K21" i="5" l="1"/>
  <c r="I21"/>
  <c r="E21"/>
  <c r="O21"/>
  <c r="G30" i="17"/>
  <c r="H7" s="1"/>
  <c r="U13" i="5"/>
  <c r="G31" i="18"/>
  <c r="H10" s="1"/>
  <c r="W21" i="5"/>
  <c r="G31" i="15"/>
  <c r="H10" s="1"/>
  <c r="L21" i="5"/>
  <c r="O13"/>
  <c r="D21"/>
  <c r="G30" i="22"/>
  <c r="H27" s="1"/>
  <c r="G30" i="21"/>
  <c r="H8" s="1"/>
  <c r="G30" i="13"/>
  <c r="H14" s="1"/>
  <c r="Q21" i="5"/>
  <c r="T19" i="6"/>
  <c r="G30" i="20"/>
  <c r="H7" s="1"/>
  <c r="G30" i="19"/>
  <c r="H7" s="1"/>
  <c r="G30" i="16"/>
  <c r="H8" s="1"/>
  <c r="N21" i="5"/>
  <c r="T21"/>
  <c r="R13"/>
  <c r="H18" i="14"/>
  <c r="H10"/>
  <c r="H26"/>
  <c r="H13"/>
  <c r="H21"/>
  <c r="H29"/>
  <c r="H12"/>
  <c r="H20"/>
  <c r="H28"/>
  <c r="H15"/>
  <c r="H14"/>
  <c r="H22"/>
  <c r="H9"/>
  <c r="H17"/>
  <c r="H25"/>
  <c r="H8"/>
  <c r="H16"/>
  <c r="H24"/>
  <c r="H11"/>
  <c r="H19"/>
  <c r="H23"/>
  <c r="H27"/>
  <c r="I8" i="4"/>
  <c r="I15" s="1"/>
  <c r="F21" i="5"/>
  <c r="B21"/>
  <c r="V21"/>
  <c r="AA21" s="1"/>
  <c r="P7" i="1"/>
  <c r="O7" s="1"/>
  <c r="M7" i="8"/>
  <c r="M14" s="1"/>
  <c r="N14" s="1"/>
  <c r="G30" i="11"/>
  <c r="H30" s="1"/>
  <c r="G30" i="12"/>
  <c r="H8" s="1"/>
  <c r="V13" i="5"/>
  <c r="X20"/>
  <c r="C21"/>
  <c r="R21"/>
  <c r="U20"/>
  <c r="R20"/>
  <c r="U21"/>
  <c r="N7" i="8" l="1"/>
  <c r="H13" i="17"/>
  <c r="H7" i="21"/>
  <c r="H29" i="18"/>
  <c r="H28"/>
  <c r="H15"/>
  <c r="H13"/>
  <c r="H21"/>
  <c r="H20"/>
  <c r="H22"/>
  <c r="H23"/>
  <c r="H30"/>
  <c r="H14"/>
  <c r="H12"/>
  <c r="H25"/>
  <c r="H17"/>
  <c r="H9"/>
  <c r="H24"/>
  <c r="H16"/>
  <c r="H8"/>
  <c r="H27"/>
  <c r="H19"/>
  <c r="H11"/>
  <c r="H26"/>
  <c r="H18"/>
  <c r="H22" i="17"/>
  <c r="H14"/>
  <c r="H29"/>
  <c r="H21"/>
  <c r="H20"/>
  <c r="H27"/>
  <c r="H11"/>
  <c r="H13" i="13"/>
  <c r="H26" i="17"/>
  <c r="H18"/>
  <c r="H10"/>
  <c r="H25"/>
  <c r="H17"/>
  <c r="H9"/>
  <c r="H28"/>
  <c r="H12"/>
  <c r="H19"/>
  <c r="H24"/>
  <c r="H16"/>
  <c r="H8"/>
  <c r="H23"/>
  <c r="H15"/>
  <c r="H15" i="15"/>
  <c r="H23"/>
  <c r="H8"/>
  <c r="H18"/>
  <c r="H22"/>
  <c r="H29"/>
  <c r="H11"/>
  <c r="H24"/>
  <c r="H9"/>
  <c r="H21"/>
  <c r="H13"/>
  <c r="H16"/>
  <c r="H12"/>
  <c r="H25"/>
  <c r="H14"/>
  <c r="H28"/>
  <c r="H24" i="21"/>
  <c r="H27" i="15"/>
  <c r="H19"/>
  <c r="H26"/>
  <c r="H17"/>
  <c r="H30"/>
  <c r="H20"/>
  <c r="H25" i="22"/>
  <c r="H26" i="21"/>
  <c r="H22"/>
  <c r="H28"/>
  <c r="H20"/>
  <c r="H29" i="13"/>
  <c r="H19"/>
  <c r="H16"/>
  <c r="H8"/>
  <c r="H7" i="1"/>
  <c r="H25" i="13"/>
  <c r="H27"/>
  <c r="H22"/>
  <c r="H15"/>
  <c r="H20"/>
  <c r="H10"/>
  <c r="H17"/>
  <c r="H23"/>
  <c r="H24"/>
  <c r="H28"/>
  <c r="H9"/>
  <c r="H12"/>
  <c r="H21"/>
  <c r="H26"/>
  <c r="H18"/>
  <c r="H7"/>
  <c r="H11"/>
  <c r="H12" i="22"/>
  <c r="H24"/>
  <c r="H20"/>
  <c r="H16"/>
  <c r="H23"/>
  <c r="H9"/>
  <c r="H14"/>
  <c r="H18"/>
  <c r="H28"/>
  <c r="H11"/>
  <c r="H19"/>
  <c r="H22"/>
  <c r="H15"/>
  <c r="H21"/>
  <c r="H7"/>
  <c r="H29"/>
  <c r="H26"/>
  <c r="H13"/>
  <c r="H8"/>
  <c r="H17"/>
  <c r="H10"/>
  <c r="H18" i="21"/>
  <c r="H15"/>
  <c r="H13"/>
  <c r="H11"/>
  <c r="H9"/>
  <c r="H17"/>
  <c r="H29"/>
  <c r="H27"/>
  <c r="H25"/>
  <c r="H23"/>
  <c r="H21"/>
  <c r="H19"/>
  <c r="H16"/>
  <c r="H14"/>
  <c r="H12"/>
  <c r="H10"/>
  <c r="R7" i="1"/>
  <c r="X13" i="5"/>
  <c r="H28" i="20"/>
  <c r="H24"/>
  <c r="H26"/>
  <c r="H22"/>
  <c r="H14"/>
  <c r="H18"/>
  <c r="H10"/>
  <c r="H25"/>
  <c r="H17"/>
  <c r="H9"/>
  <c r="H20"/>
  <c r="H16"/>
  <c r="H12"/>
  <c r="H8"/>
  <c r="H29"/>
  <c r="H21"/>
  <c r="H13"/>
  <c r="H27"/>
  <c r="H23"/>
  <c r="H19"/>
  <c r="H15"/>
  <c r="H11"/>
  <c r="H28" i="19"/>
  <c r="H24"/>
  <c r="H20"/>
  <c r="H26"/>
  <c r="H22"/>
  <c r="H16"/>
  <c r="H8"/>
  <c r="H12"/>
  <c r="H27"/>
  <c r="H23"/>
  <c r="H18"/>
  <c r="H14"/>
  <c r="H10"/>
  <c r="H29"/>
  <c r="H25"/>
  <c r="H15"/>
  <c r="H19"/>
  <c r="H11"/>
  <c r="H21"/>
  <c r="H17"/>
  <c r="H13"/>
  <c r="H9"/>
  <c r="H27" i="16"/>
  <c r="H23"/>
  <c r="H29"/>
  <c r="H25"/>
  <c r="H19"/>
  <c r="H21"/>
  <c r="H15"/>
  <c r="H17"/>
  <c r="H13"/>
  <c r="H7"/>
  <c r="H11"/>
  <c r="H22"/>
  <c r="H26"/>
  <c r="H18"/>
  <c r="H9"/>
  <c r="H28"/>
  <c r="H24"/>
  <c r="H20"/>
  <c r="H14"/>
  <c r="H16"/>
  <c r="H12"/>
  <c r="H10"/>
  <c r="H31" i="14"/>
  <c r="K8" i="4"/>
  <c r="K15" s="1"/>
  <c r="H15" s="1"/>
  <c r="X21" i="5"/>
  <c r="H29" i="11"/>
  <c r="H17"/>
  <c r="H25"/>
  <c r="H26"/>
  <c r="H21"/>
  <c r="H13"/>
  <c r="H14"/>
  <c r="H9"/>
  <c r="H22"/>
  <c r="H7"/>
  <c r="H18"/>
  <c r="H10"/>
  <c r="H23"/>
  <c r="H27"/>
  <c r="H15"/>
  <c r="H19"/>
  <c r="H28"/>
  <c r="H11"/>
  <c r="H20"/>
  <c r="H12"/>
  <c r="H24"/>
  <c r="H16"/>
  <c r="H8"/>
  <c r="H28" i="12"/>
  <c r="H24"/>
  <c r="H20"/>
  <c r="H16"/>
  <c r="H11"/>
  <c r="H7"/>
  <c r="H27"/>
  <c r="H23"/>
  <c r="H19"/>
  <c r="H14"/>
  <c r="H10"/>
  <c r="H15"/>
  <c r="H26"/>
  <c r="H22"/>
  <c r="H18"/>
  <c r="H13"/>
  <c r="H9"/>
  <c r="H29"/>
  <c r="H25"/>
  <c r="H21"/>
  <c r="H17"/>
  <c r="H12"/>
  <c r="J15" i="4" l="1"/>
  <c r="H31" i="18"/>
  <c r="H30" i="17"/>
  <c r="H31" i="15"/>
  <c r="H30" i="13"/>
  <c r="H30" i="22"/>
  <c r="H30" i="21"/>
  <c r="H30" i="20"/>
  <c r="H30" i="19"/>
  <c r="H30" i="16"/>
  <c r="H30" i="12"/>
  <c r="H8" i="4"/>
  <c r="Y6" i="6"/>
  <c r="J8" i="4"/>
  <c r="Z6" i="6" l="1"/>
  <c r="Y12"/>
  <c r="Z12" s="1"/>
</calcChain>
</file>

<file path=xl/sharedStrings.xml><?xml version="1.0" encoding="utf-8"?>
<sst xmlns="http://schemas.openxmlformats.org/spreadsheetml/2006/main" count="713" uniqueCount="152">
  <si>
    <t>ΜΗΝΑΣ</t>
  </si>
  <si>
    <t>ΛΕΥΚΩΣΙΑ</t>
  </si>
  <si>
    <t>ΛΑΡΝΑΚΑ</t>
  </si>
  <si>
    <t>ΠΑΡΑΛΙΜΝΙ</t>
  </si>
  <si>
    <t>ΛΕΜΕΣΟΣ</t>
  </si>
  <si>
    <t>ΠΑΦΟΣ</t>
  </si>
  <si>
    <t>ΣΥΝΟΛΟ</t>
  </si>
  <si>
    <t>ΑΥΓΟΥΣΤΟΣ</t>
  </si>
  <si>
    <t>ΑΝΔΡΕΣ</t>
  </si>
  <si>
    <t>ΓΥΝΑΙΚΕΣ</t>
  </si>
  <si>
    <t>ΠΟΣΟΣΤΟ</t>
  </si>
  <si>
    <t xml:space="preserve"> ΥΠΗΡΕΣΙΕΣ ΚΟΙΝΩΝΙΚΩΝ ΑΣΦΑΛΙΣΕΩΝ</t>
  </si>
  <si>
    <t>ΚΛΑΔΟΣ ΣΤΑΤΙΣΤΙΚΗΣ</t>
  </si>
  <si>
    <t>Μ Η Ν Α Σ</t>
  </si>
  <si>
    <t>ΑΡΙΘΜΟΣ</t>
  </si>
  <si>
    <t>ΠΟΣΟ ΠΟΥ</t>
  </si>
  <si>
    <t>ΠΡΟΣΩΠΩΝ</t>
  </si>
  <si>
    <t>ΠΛΗΡΩΘΗΚΕ</t>
  </si>
  <si>
    <t>12356*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</si>
  <si>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</si>
  <si>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</si>
  <si>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</si>
  <si>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</si>
  <si>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</si>
  <si>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</si>
  <si>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</si>
  <si>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ΣΕΠΤΕΜΒΡΙΟΣ</t>
  </si>
  <si>
    <t>ΟΚΤΩΒΡΙΟΣ</t>
  </si>
  <si>
    <t>ΝΟΕΜΒΡΙΟΣ</t>
  </si>
  <si>
    <t>ΔΕΚΕΜΒΡΙΟΣ</t>
  </si>
  <si>
    <t>ΠΛΗΡΩΘΗΚΕ*</t>
  </si>
  <si>
    <t xml:space="preserve">                ΚΛΑΔΟΣ ΣΤΑΤΙΣΤΙΚΗΣ</t>
  </si>
  <si>
    <t>% μεταβολής στον αρ. ατόμων 2009/2008</t>
  </si>
  <si>
    <t>% μεταβολής στον αρ. ατόμων 2010/2009</t>
  </si>
  <si>
    <t>% μεταβολής στον αρ. ατόμων 2011/2010</t>
  </si>
  <si>
    <t>Εληνοκύπριοι και άλλοι</t>
  </si>
  <si>
    <t>Κοινοτικοί</t>
  </si>
  <si>
    <t xml:space="preserve">Τουρκοκύπριοι </t>
  </si>
  <si>
    <t>Σύνολο</t>
  </si>
  <si>
    <t xml:space="preserve">Αλλοδαποί </t>
  </si>
  <si>
    <t>*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</si>
  <si>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ΜΕΣΟΣ ΜΗΝΙΑΟΣ ΑΡΙΘΜΟΣ Α΄ ΕΞΑΜΗΝΟΥ</t>
  </si>
  <si>
    <t>ΜΕΣΟΣ ΜΗΝΙΑΙΟΣ ΑΡΙΘΜΟΣ Β΄ ΕΞΑΜΗΝΟΥ</t>
  </si>
  <si>
    <t>ΜΕΣΟΣ ΜΗΝΙΑΙΟΣ  ΑΡΙΘΜΟΣ ΧΡΟΝΟΥ</t>
  </si>
  <si>
    <t>ΜΕΣΟΣ ΜΗΝΙΑΙΟΣ ΑΡΙΘΜΟΣ Α΄ ΕΞΑΜΗΝΟΥ</t>
  </si>
  <si>
    <t>ΜΕΣΟΣ ΜΗΝΙΑΙΟΣ ΑΡΙΘΜΟΣ ΧΡΟΝΟΥ</t>
  </si>
  <si>
    <t xml:space="preserve">ΜΕΣΟΣ ΜΗΝΙΑΙΟΣ ΑΡΙΘΜΟΣ Β΄ ΕΞΑΜΗΝΟΥ </t>
  </si>
  <si>
    <t>ΜΕΣΟΣ ΜΗΝΙΑΙΟΣ ΑΡΙΘΜΟΣ ΕΤΟΥΣ</t>
  </si>
  <si>
    <t xml:space="preserve">ΜΕΣΟΣ ΜΗΝΙΑΙΟΣ ΑΡΙΘΜΟΣ Α΄ ΕΞΑΜΗΝΟΥ </t>
  </si>
  <si>
    <r>
      <t xml:space="preserve">ΠΙΝΑΚΑΣ ΣΤΟΝ ΟΠΟΙΟ ΦΑΙΝΕΤΑΙ Ο ΑΡΙΘΜΟΣ ΤΩΝ ΠΡΟΣΩΠΩΝ ΠΟΥ </t>
    </r>
    <r>
      <rPr>
        <b/>
        <sz val="10"/>
        <rFont val="Arial"/>
        <family val="2"/>
        <charset val="161"/>
      </rPr>
      <t xml:space="preserve">ΑΠΟΤΑΘΗΚΑΝ </t>
    </r>
  </si>
  <si>
    <t>ΑΤΟΜΩΝ</t>
  </si>
  <si>
    <t>ΜΕΣΟΣ ΜΗΝΙΑΙΟΣ ΑΡΙΘΜΟΣ ΑΤΟΜΩΝ ΚΑΙ ΣΥΝΟΛΙΚΟ ΠΟΣΟ ΠΛΗΡΩΜΗΣ Α΄ ΕΞΑΜΗΝΟΥ</t>
  </si>
  <si>
    <t>ΜΕΣΟΣ ΜΗΝΙΑΙΟΣ ΑΡΙΘΜΟΣ ΑΤΟΜΩΝ ΚΑΙ ΣΥΝΟΛΙΚΟ ΠΟΣΟ ΠΛΗΡΩΜΗΣ Β΄ ΕΞΑΜΗΝΟΥ</t>
  </si>
  <si>
    <t xml:space="preserve">                                           ΜΕΣΟΣ ΜΗΝΙΑΙΟΣ ΑΡΙΘΜΟΣ ΑΤΟΜΩΝ ΚΑΙ ΣΥΝΟΛΙΚΟ ΠΟΣΟ ΠΛΗΡΩΜΗΣ ΕΤΟΥΣ €</t>
  </si>
  <si>
    <t>2. Μέρος του ποσού αφορά αναδρομικές πληρωμές.</t>
  </si>
  <si>
    <t xml:space="preserve"> * Το ποσό πληρωμής αφορά τη μηνιαία δαπάνη του επιδόματος ανεργίας και όχι το ποσό που καταβλήθηκε στα πιο πάνω άτομα, για τους πιο κάτω λόγους:</t>
  </si>
  <si>
    <t>1. Οι δικαιούχοι δεν πληρώνονται απαραίτητα τον αντίστοιχο μήνα αναφοράς,</t>
  </si>
  <si>
    <t>ΕΤΗΣΙΑ ΔΑΠΑΝΗ €**</t>
  </si>
  <si>
    <t>ΠΟΣΟ ΠΛΗΡΩΜΗΣ* €</t>
  </si>
  <si>
    <t>% μεταβολής στον αρ. ατόμων 2012/2011</t>
  </si>
  <si>
    <t>ΚΑΤΗΓΟΡΙΑ ΑΝΕΡΓΩΝ</t>
  </si>
  <si>
    <t>A/A</t>
  </si>
  <si>
    <t xml:space="preserve"> ΟΙΚΟΝΟΜΙΚΗ ΔΡΑΣΤΗΡΙΟΤΗΤΑ (NACE 2)</t>
  </si>
  <si>
    <t xml:space="preserve">      ΑΝΑΣΤΟΛΕΣ </t>
  </si>
  <si>
    <t xml:space="preserve">    ΤΕΡΜΑΤΙΣΜΟΙ </t>
  </si>
  <si>
    <t>ΜΕΤΑΠΟΙΗΣΗΣ</t>
  </si>
  <si>
    <t>ΤΟΥΡΙΣΤΙΚΗΣ ΒΙΟΜΗΧΑΝΙΑΣ</t>
  </si>
  <si>
    <t>ΑΛΛΟΙ</t>
  </si>
  <si>
    <t>Γεωργία, δασοκομία και αλιεία</t>
  </si>
  <si>
    <t>Ορυχεία και λατομεία</t>
  </si>
  <si>
    <t>Μεταποίηση</t>
  </si>
  <si>
    <t>Παροχή ηλεκτρικού ρεύματος, φυσικού αερίου, ατμού και κλιματισμού</t>
  </si>
  <si>
    <t>Παροχή νερού, επεξεργασία λυμάτων, διαχείριση αποβλήτων και δραστηριότητες εξυγίανσης</t>
  </si>
  <si>
    <t>Κατασκευές</t>
  </si>
  <si>
    <t>Χονδρικό και λιανικό εμπόριο.  Επισκευή μηχανοκίνητων οχημάτων και μοτοσυκλετών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</si>
  <si>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</si>
  <si>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</si>
  <si>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</si>
  <si>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</si>
  <si>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Διαχείριση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</si>
  <si>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</si>
  <si>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</si>
  <si>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άμυνα. Υποχρεωτική κοινωνική ασφάλιση</t>
  </si>
  <si>
    <t>Εκπαίδευση</t>
  </si>
  <si>
    <t>Δραστηριότητες σχετικές με την ανθρώπινη υγεία και την κοινωνική μέριμνα</t>
  </si>
  <si>
    <t>Τέχνες, διασκέδαση και ψυχαγωγία</t>
  </si>
  <si>
    <t>Άλλες δραστηριότητες παροχής υπηρεσιών</t>
  </si>
  <si>
    <t>Δραστηριότητες νοικοκυριών ως εργοδοτών. Μη διαφοροποιημένες δραστηριότητες νοικοκυριών που αφορούν την παραγωγή αγαθών - και υπηρεσιών - για ιδία χρήση</t>
  </si>
  <si>
    <t>Δραστηριότητες ετερόδικων οργανισμών και φορέων</t>
  </si>
  <si>
    <t>Μη δηλωμένη οικονομική δραστηριότητα</t>
  </si>
  <si>
    <t>Λιμενεργάτες</t>
  </si>
  <si>
    <t>ΥΠΗΡΕΣΙΕΣ ΚΟΙΝΩΝΙΚΩΝ ΑΣΦΑΛΙΣΕΩΝ</t>
  </si>
  <si>
    <t>% μεταβολής στον αρ. ατόμων 2013/2012</t>
  </si>
  <si>
    <t xml:space="preserve">Ποσοστό επί του συνόλου </t>
  </si>
  <si>
    <r>
      <t xml:space="preserve"> ΠΙΝΑΚΑΣ ΣΤΟΝ ΟΠΟΙΟ ΦΑΙΝΕΤΑΙ Ο ΑΡΙΘΜΟΣ ΤΩΝ ΠΡΟΣΩΠΩΝ ΠΟΥ </t>
    </r>
    <r>
      <rPr>
        <b/>
        <sz val="10"/>
        <rFont val="Arial"/>
        <family val="2"/>
        <charset val="161"/>
      </rPr>
      <t xml:space="preserve">ΑΠΟΤΑΘΗΚΑΝ  </t>
    </r>
    <r>
      <rPr>
        <sz val="10"/>
        <rFont val="Arial"/>
        <family val="2"/>
        <charset val="161"/>
      </rPr>
      <t xml:space="preserve">                                    </t>
    </r>
  </si>
  <si>
    <t>ΠΙΝΑΚΑΣ 1</t>
  </si>
  <si>
    <t>ΠΙΝΑΚΑΣ 2</t>
  </si>
  <si>
    <t>ΠΙΝΑΚΑΣ 3</t>
  </si>
  <si>
    <t>ΠΙΝΑΚΑΣ 4</t>
  </si>
  <si>
    <t>ΠΙΝΑΚΑΣ 5</t>
  </si>
  <si>
    <t>ΠΙΝΑΚΑΣ 6</t>
  </si>
  <si>
    <t xml:space="preserve">ΠΙΝΑΚΑΣ ΣΤΟΝ ΟΠΟΙΟ ΦΑΙΝΕΤΑΙ Ο ΑΡΙΘΜΟΣ ΤΩΝ ΠΡΟΣΩΠΩΝ ΠΟΥ ΑΠΟΤΑΘΗΚΑΝ </t>
  </si>
  <si>
    <t>ΠΙΝΑΚΑΣ 7.7</t>
  </si>
  <si>
    <t>ΠΙΝΑΚΑΣ 7.6</t>
  </si>
  <si>
    <t>ΠΙΝΑΚΑΣ 7.1</t>
  </si>
  <si>
    <t>ΠΙΝΑΚΑΣ 7.2</t>
  </si>
  <si>
    <t>ΠΙΝΑΚΑΣ 7.3</t>
  </si>
  <si>
    <t>ΠΙΝΑΚΑΣ 7.4</t>
  </si>
  <si>
    <t>ΠΙΝΑΚΑΣ 7.5</t>
  </si>
  <si>
    <t>ΠΙΝΑΚΑΣ 7.8</t>
  </si>
  <si>
    <t>ΠΙΝΑΚΑΣ 7.9</t>
  </si>
  <si>
    <t>ΠΙΝΑΚΑΣ 7.10</t>
  </si>
  <si>
    <t>ΠΙΝΑΚΑΣ 7.11</t>
  </si>
  <si>
    <t>ΠΟΣΟΣΤΟ ΕΠΙ ΤΟΥ ΣΥΝΟΛΟΥ</t>
  </si>
  <si>
    <t>% μεταβολής στον αρ. ατόμων 2014/2013</t>
  </si>
  <si>
    <t>% μεταβολής στον αρ. ατόμων 2015/2014</t>
  </si>
  <si>
    <t>ΠΟΣΟΣΤΙΑΙΑ ΑΥΞΗΣΗ</t>
  </si>
  <si>
    <t>ΓΕΝΙΚΟ ΣΥΝΟΛΟ</t>
  </si>
  <si>
    <t>% μεταβολής στον αρ. ατόμων 2016/2015</t>
  </si>
  <si>
    <t xml:space="preserve">**  Η ετήσια δαπάνη είναι σύμφωνα με τους τελικούς λογαριασμούς του Ταμείου Κοινωνικών Ασφαλίσεων. Το ετήσιο ποσό του 2015 - 2016 διαφέρει από τη μηνιαία δαπάνη γιατί περιλαμβάνει και τις αποδόσεις των δαπανών ανεργίας σε / από άλλες χώρες της Ε.Ε. με βάση τον Κανονισμό. </t>
  </si>
  <si>
    <t>ΠΙΝΑΚΑΣ 7.12</t>
  </si>
  <si>
    <t>% μεταβολής στον αρ. ατόμων 2017/2016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</si>
  <si>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Ιανουάριο του 2018</t>
  </si>
  <si>
    <t>Unemployment benefit by economic activity 2018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</si>
  <si>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Φεβρουάριο του 2018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</si>
  <si>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Μάρτιο του 2018</t>
  </si>
  <si>
    <t xml:space="preserve">         Πίνακας στον οποίο φαίνεται ο αριθμός των ατόμων που αποτάθηκαν για επίδομα ανεργίας κατά οικονομική δραστηριότητα και κατάσταση ανέργου, τον Απρίλιο του 2018</t>
  </si>
  <si>
    <t xml:space="preserve">         Πίνακας στον οποίο φαίνεται ο αριθμός των ατόμων που αποτάθηκαν για επίδομα ανεργίας κατά οικονομική δραστηριότητα και κατάσταση ανέργου, τον Μάϊο του 2018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</si>
  <si>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Ιούνιο του 2018</t>
  </si>
  <si>
    <t>Unemployment benefit by economic activity 2018 (Jan-June)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</si>
  <si>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Ιούλιο του 2018</t>
  </si>
  <si>
    <t>Unemployment benefit by economic activity 2018 (Jan-Dec)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</si>
  <si>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Αύγουστο του 2018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</si>
  <si>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Σεπτέμβριο του 2018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</si>
  <si>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Οκτώβριο του 2018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</si>
  <si>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Νοέμβριο του 2018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</si>
  <si>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Δεκέμβριο του 2018</t>
  </si>
  <si>
    <t>ΓΙΑ ΕΠΙΔΟΜΑ ΑΝΕΡΓΙΑΣ ΓΙΑ ΤΑ ΧΡΟΝΙΑ 2017 ΚΑΙ 2018 ΚΑΤΑ ΕΠΑΡΧΙΑ ΚΑΙ ΜΗΝΑ</t>
  </si>
  <si>
    <t>ΓΙΑ ΕΠΙΔΟΜΑ ΑΝΕΡΓΙΑΣ ΚΑΤΑ ΦΥΛΟ ΚΑΙ ΜΗΝΑ ΓΙΑ ΤΑ ΧΡΟΝΙΑ 2017 ΚΑΙ 2018</t>
  </si>
  <si>
    <t>% μεταβολής 2018/2017</t>
  </si>
  <si>
    <r>
      <t xml:space="preserve"> ΠΙΝΑΚΑΣ ΣΤΟΝ ΟΠΟΙΟ ΦΑΙΝΕΤΑΙ Ο ΑΡΙΘΜΟΣ ΤΩΝ ΑΤΟΜΩΝ ΠΟΥ </t>
    </r>
    <r>
      <rPr>
        <b/>
        <sz val="10"/>
        <rFont val="Arial"/>
        <family val="2"/>
        <charset val="161"/>
      </rPr>
      <t>ΑΠΟΤΑΘΗΚΑΝ</t>
    </r>
    <r>
      <rPr>
        <sz val="10"/>
        <rFont val="Arial"/>
        <family val="2"/>
        <charset val="161"/>
      </rPr>
      <t xml:space="preserve"> ΓΙΑ ΕΠΙΔΟΜΑ ΑΝΕΡΓΙΑΣ ΚΑΤΑ ΜΗΝΑ ΚΑΙ ΧΡΟΝΟ ΓΙΑ ΤΑ ΧΡΟΝΙΑ 1995 - 2018</t>
    </r>
  </si>
  <si>
    <t>% μεταβολής του συνόλου 2018/2017</t>
  </si>
  <si>
    <r>
      <t xml:space="preserve"> ΠΙΝΑΚΑΣ ΣΤΟΝ ΟΠΟΙΟ ΦΑΙΝΕΤΑΙ Ο ΑΡΙΘΜΟΣ </t>
    </r>
    <r>
      <rPr>
        <b/>
        <sz val="10"/>
        <rFont val="Arial"/>
        <family val="2"/>
        <charset val="161"/>
      </rPr>
      <t xml:space="preserve">ΤΩΝ ΔΙΚΑΙΟΥΧΩΝ </t>
    </r>
    <r>
      <rPr>
        <sz val="10"/>
        <rFont val="Arial"/>
        <family val="2"/>
        <charset val="161"/>
      </rPr>
      <t>ΕΠΙΔΟΜΑΤΟΣ ΑΝΕΡΓΙΑΣ ΑΠΟ ΤΟ ΤΑΜΕΙΟ ΚΟΙΝΩΝΙΚΩΝ ΑΣΦΑΛΙΣΕΩΝ, ΚΑΤΑ ΜΗΝΑ, ΚΟΙΝΟΤΗΤΑ ΚΑΙ ΚΑΤΑ ΧΡΟΝΟ ΓΙΑ ΤΑ ΧΡΟΝΙΑ 2017 -2018</t>
    </r>
  </si>
  <si>
    <t>% μεταβολής στον αρ. ατόμων 2018/2017</t>
  </si>
  <si>
    <t xml:space="preserve">      ΓΙΑ ΕΠΙΔΟΜΑ ΑΝΕΡΓΙΑΣ ΤΟ 2018 ΚΑΤΑ ΕΠΑΡΧΙΑ, ΦΥΛΟ ΚΑΙ ΜΗΝΑ  </t>
  </si>
  <si>
    <t>UNEMPLOYMENT BENEFIT Y2017-2018</t>
  </si>
  <si>
    <t>UNEMPLOYMENT BENEFIT Y2011-2018</t>
  </si>
  <si>
    <t>ΑΡΙΘΜΟΣ ΑΤΟΜΩΝ</t>
  </si>
  <si>
    <t>ΠΙΝΑΚΑΣ ΣΤΟΝ ΟΠΟΙΟ ΦΑΙΝΕΤΑΙ Ο ΑΡΙΘΜΟΣ ΤΩΝ ΔΙΚΑΙΟΥΧΩΝ ΕΠΙΔΟΜΑΤΟΣ ΑΝΕΡΓΙΑΣ ΚΑΙ ΤΟ ΠΟΣΟ ΠΛΗΡΩΜΗΣ* ΚΑΤΑ ΜΗΝΑ ΓΙΑ ΤΑ ΧΡΟΝΙΑ 2012 - 2018</t>
  </si>
  <si>
    <t xml:space="preserve">    </t>
  </si>
  <si>
    <t>% μεταβολής του συνόλου 2017/2016</t>
  </si>
  <si>
    <t xml:space="preserve">  </t>
  </si>
</sst>
</file>

<file path=xl/styles.xml><?xml version="1.0" encoding="utf-8"?>
<styleSheet xmlns="http://schemas.openxmlformats.org/spreadsheetml/2006/main">
  <numFmts count="7">
    <numFmt numFmtId="41" formatCode="_-* #,##0\ _€_-;\-* #,##0\ _€_-;_-* &quot;-&quot;\ _€_-;_-@_-"/>
    <numFmt numFmtId="164" formatCode="_-* #,##0\ _Δ_ρ_χ_-;\-* #,##0\ _Δ_ρ_χ_-;_-* &quot;-&quot;\ _Δ_ρ_χ_-;_-@_-"/>
    <numFmt numFmtId="165" formatCode="0.0%"/>
    <numFmt numFmtId="166" formatCode="[$-408]d\-mmm\-yy;@"/>
    <numFmt numFmtId="167" formatCode="[$-408]dd\-mmm\-yy;@"/>
    <numFmt numFmtId="168" formatCode="[$€-2]\ #,##0;[Red]\-[$€-2]\ #,##0"/>
    <numFmt numFmtId="169" formatCode="0.0"/>
  </numFmts>
  <fonts count="25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u/>
      <sz val="10"/>
      <name val="Arial"/>
      <family val="2"/>
      <charset val="161"/>
    </font>
    <font>
      <b/>
      <u/>
      <sz val="9"/>
      <name val="Arial"/>
      <family val="2"/>
      <charset val="161"/>
    </font>
    <font>
      <b/>
      <u/>
      <sz val="12"/>
      <name val="Arial"/>
      <family val="2"/>
    </font>
    <font>
      <sz val="11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9" fontId="1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5" fontId="2" fillId="0" borderId="6" xfId="2" applyNumberFormat="1" applyFont="1" applyBorder="1"/>
    <xf numFmtId="0" fontId="2" fillId="0" borderId="6" xfId="0" applyFont="1" applyBorder="1"/>
    <xf numFmtId="165" fontId="2" fillId="0" borderId="0" xfId="2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166" fontId="8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164" fontId="13" fillId="0" borderId="26" xfId="0" applyNumberFormat="1" applyFont="1" applyBorder="1"/>
    <xf numFmtId="0" fontId="13" fillId="0" borderId="0" xfId="0" applyFont="1"/>
    <xf numFmtId="166" fontId="13" fillId="0" borderId="0" xfId="0" applyNumberFormat="1" applyFont="1" applyAlignment="1">
      <alignment horizontal="left"/>
    </xf>
    <xf numFmtId="0" fontId="19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20" fillId="0" borderId="0" xfId="0" applyFont="1"/>
    <xf numFmtId="14" fontId="0" fillId="0" borderId="0" xfId="0" applyNumberFormat="1" applyAlignment="1">
      <alignment horizontal="left"/>
    </xf>
    <xf numFmtId="0" fontId="17" fillId="0" borderId="0" xfId="0" applyFont="1"/>
    <xf numFmtId="0" fontId="13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/>
    <xf numFmtId="3" fontId="14" fillId="0" borderId="0" xfId="0" applyNumberFormat="1" applyFont="1" applyBorder="1" applyAlignment="1">
      <alignment wrapText="1"/>
    </xf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4" fontId="14" fillId="0" borderId="0" xfId="0" applyNumberFormat="1" applyFont="1" applyBorder="1" applyAlignment="1"/>
    <xf numFmtId="0" fontId="17" fillId="0" borderId="0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1" fontId="11" fillId="0" borderId="34" xfId="0" applyNumberFormat="1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1" fontId="11" fillId="0" borderId="34" xfId="0" applyNumberFormat="1" applyFont="1" applyBorder="1" applyAlignment="1">
      <alignment horizontal="right"/>
    </xf>
    <xf numFmtId="164" fontId="13" fillId="0" borderId="9" xfId="0" applyNumberFormat="1" applyFont="1" applyBorder="1"/>
    <xf numFmtId="164" fontId="13" fillId="0" borderId="9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64" fontId="2" fillId="0" borderId="9" xfId="0" applyNumberFormat="1" applyFont="1" applyBorder="1"/>
    <xf numFmtId="164" fontId="2" fillId="0" borderId="9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14" fillId="0" borderId="9" xfId="0" applyNumberFormat="1" applyFont="1" applyBorder="1"/>
    <xf numFmtId="164" fontId="14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left"/>
    </xf>
    <xf numFmtId="164" fontId="3" fillId="0" borderId="27" xfId="0" applyNumberFormat="1" applyFont="1" applyBorder="1" applyAlignment="1">
      <alignment horizontal="left"/>
    </xf>
    <xf numFmtId="164" fontId="13" fillId="0" borderId="10" xfId="0" applyNumberFormat="1" applyFont="1" applyBorder="1"/>
    <xf numFmtId="0" fontId="2" fillId="0" borderId="26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15" xfId="0" applyFont="1" applyBorder="1"/>
    <xf numFmtId="0" fontId="2" fillId="0" borderId="11" xfId="0" applyFont="1" applyBorder="1"/>
    <xf numFmtId="164" fontId="2" fillId="0" borderId="45" xfId="0" applyNumberFormat="1" applyFont="1" applyBorder="1"/>
    <xf numFmtId="164" fontId="3" fillId="0" borderId="46" xfId="0" applyNumberFormat="1" applyFont="1" applyBorder="1" applyAlignment="1">
      <alignment horizontal="left"/>
    </xf>
    <xf numFmtId="164" fontId="2" fillId="0" borderId="6" xfId="0" applyNumberFormat="1" applyFont="1" applyBorder="1"/>
    <xf numFmtId="165" fontId="0" fillId="0" borderId="26" xfId="0" applyNumberFormat="1" applyBorder="1"/>
    <xf numFmtId="165" fontId="11" fillId="0" borderId="26" xfId="0" applyNumberFormat="1" applyFont="1" applyBorder="1"/>
    <xf numFmtId="0" fontId="17" fillId="0" borderId="9" xfId="0" applyFont="1" applyBorder="1" applyAlignment="1">
      <alignment horizontal="center"/>
    </xf>
    <xf numFmtId="164" fontId="2" fillId="0" borderId="26" xfId="0" applyNumberFormat="1" applyFont="1" applyBorder="1"/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6" fontId="13" fillId="0" borderId="0" xfId="0" applyNumberFormat="1" applyFont="1" applyAlignment="1"/>
    <xf numFmtId="1" fontId="4" fillId="0" borderId="3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3" fillId="0" borderId="34" xfId="0" applyNumberFormat="1" applyFont="1" applyBorder="1" applyAlignment="1">
      <alignment horizontal="center"/>
    </xf>
    <xf numFmtId="0" fontId="12" fillId="0" borderId="0" xfId="0" applyFont="1"/>
    <xf numFmtId="164" fontId="2" fillId="0" borderId="14" xfId="0" applyNumberFormat="1" applyFont="1" applyBorder="1"/>
    <xf numFmtId="0" fontId="3" fillId="0" borderId="10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/>
    </xf>
    <xf numFmtId="164" fontId="3" fillId="0" borderId="28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26" xfId="2" applyNumberFormat="1" applyFont="1" applyBorder="1" applyAlignment="1">
      <alignment horizontal="center"/>
    </xf>
    <xf numFmtId="164" fontId="2" fillId="0" borderId="40" xfId="0" applyNumberFormat="1" applyFont="1" applyBorder="1"/>
    <xf numFmtId="164" fontId="13" fillId="0" borderId="40" xfId="0" applyNumberFormat="1" applyFont="1" applyBorder="1"/>
    <xf numFmtId="0" fontId="3" fillId="0" borderId="17" xfId="0" applyFont="1" applyBorder="1" applyAlignment="1">
      <alignment horizontal="center" vertical="center" wrapText="1"/>
    </xf>
    <xf numFmtId="164" fontId="2" fillId="0" borderId="41" xfId="0" applyNumberFormat="1" applyFont="1" applyBorder="1"/>
    <xf numFmtId="164" fontId="2" fillId="0" borderId="55" xfId="0" applyNumberFormat="1" applyFont="1" applyBorder="1"/>
    <xf numFmtId="164" fontId="3" fillId="0" borderId="47" xfId="0" applyNumberFormat="1" applyFont="1" applyBorder="1" applyAlignment="1">
      <alignment horizontal="left"/>
    </xf>
    <xf numFmtId="10" fontId="17" fillId="0" borderId="30" xfId="1" applyNumberFormat="1" applyBorder="1"/>
    <xf numFmtId="10" fontId="17" fillId="0" borderId="26" xfId="1" applyNumberFormat="1" applyBorder="1"/>
    <xf numFmtId="10" fontId="17" fillId="0" borderId="48" xfId="1" applyNumberFormat="1" applyBorder="1"/>
    <xf numFmtId="10" fontId="11" fillId="0" borderId="27" xfId="1" applyNumberFormat="1" applyFont="1" applyBorder="1"/>
    <xf numFmtId="1" fontId="14" fillId="0" borderId="34" xfId="0" applyNumberFormat="1" applyFont="1" applyBorder="1" applyAlignment="1">
      <alignment wrapText="1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" fontId="4" fillId="0" borderId="34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10" fontId="0" fillId="0" borderId="26" xfId="0" applyNumberForma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4" fillId="0" borderId="19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3" fillId="0" borderId="39" xfId="0" applyNumberFormat="1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5" xfId="0" applyBorder="1"/>
    <xf numFmtId="0" fontId="0" fillId="0" borderId="5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0" fillId="0" borderId="24" xfId="0" applyBorder="1"/>
    <xf numFmtId="0" fontId="0" fillId="0" borderId="23" xfId="0" applyBorder="1"/>
    <xf numFmtId="0" fontId="11" fillId="0" borderId="24" xfId="0" applyFont="1" applyBorder="1"/>
    <xf numFmtId="0" fontId="0" fillId="0" borderId="5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/>
    </xf>
    <xf numFmtId="10" fontId="11" fillId="0" borderId="37" xfId="1" applyNumberFormat="1" applyFont="1" applyBorder="1"/>
    <xf numFmtId="10" fontId="17" fillId="0" borderId="7" xfId="1" applyNumberFormat="1" applyBorder="1"/>
    <xf numFmtId="0" fontId="3" fillId="0" borderId="50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/>
    </xf>
    <xf numFmtId="0" fontId="11" fillId="0" borderId="0" xfId="0" applyFont="1" applyFill="1"/>
    <xf numFmtId="10" fontId="17" fillId="0" borderId="52" xfId="1" applyNumberFormat="1" applyBorder="1"/>
    <xf numFmtId="10" fontId="17" fillId="0" borderId="29" xfId="1" applyNumberFormat="1" applyBorder="1"/>
    <xf numFmtId="10" fontId="17" fillId="0" borderId="49" xfId="1" applyNumberFormat="1" applyBorder="1"/>
    <xf numFmtId="10" fontId="11" fillId="0" borderId="35" xfId="1" applyNumberFormat="1" applyFont="1" applyBorder="1"/>
    <xf numFmtId="10" fontId="17" fillId="0" borderId="37" xfId="1" applyNumberFormat="1" applyBorder="1"/>
    <xf numFmtId="0" fontId="0" fillId="0" borderId="30" xfId="0" applyBorder="1"/>
    <xf numFmtId="10" fontId="11" fillId="0" borderId="28" xfId="1" applyNumberFormat="1" applyFont="1" applyBorder="1"/>
    <xf numFmtId="164" fontId="2" fillId="0" borderId="50" xfId="0" applyNumberFormat="1" applyFont="1" applyBorder="1" applyAlignment="1">
      <alignment horizontal="left"/>
    </xf>
    <xf numFmtId="164" fontId="3" fillId="0" borderId="38" xfId="0" applyNumberFormat="1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3" xfId="0" applyBorder="1" applyAlignment="1">
      <alignment horizontal="left" vertical="center" wrapText="1"/>
    </xf>
    <xf numFmtId="0" fontId="5" fillId="0" borderId="36" xfId="0" applyFont="1" applyBorder="1" applyAlignment="1">
      <alignment horizontal="left"/>
    </xf>
    <xf numFmtId="164" fontId="2" fillId="0" borderId="18" xfId="0" applyNumberFormat="1" applyFont="1" applyBorder="1" applyAlignment="1">
      <alignment horizontal="left"/>
    </xf>
    <xf numFmtId="164" fontId="2" fillId="0" borderId="57" xfId="0" applyNumberFormat="1" applyFont="1" applyBorder="1"/>
    <xf numFmtId="0" fontId="14" fillId="0" borderId="0" xfId="0" applyFont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0" fontId="17" fillId="0" borderId="33" xfId="1" applyNumberFormat="1" applyBorder="1"/>
    <xf numFmtId="10" fontId="17" fillId="0" borderId="42" xfId="1" applyNumberFormat="1" applyBorder="1"/>
    <xf numFmtId="166" fontId="13" fillId="0" borderId="0" xfId="0" applyNumberFormat="1" applyFont="1" applyAlignment="1">
      <alignment horizontal="left"/>
    </xf>
    <xf numFmtId="10" fontId="17" fillId="0" borderId="44" xfId="1" applyNumberFormat="1" applyBorder="1"/>
    <xf numFmtId="166" fontId="13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/>
    <xf numFmtId="165" fontId="2" fillId="0" borderId="27" xfId="2" applyNumberFormat="1" applyFont="1" applyBorder="1" applyAlignment="1">
      <alignment horizontal="center"/>
    </xf>
    <xf numFmtId="164" fontId="0" fillId="0" borderId="0" xfId="0" applyNumberFormat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165" fontId="2" fillId="0" borderId="6" xfId="2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165" fontId="2" fillId="0" borderId="26" xfId="0" applyNumberFormat="1" applyFont="1" applyBorder="1"/>
    <xf numFmtId="165" fontId="2" fillId="0" borderId="9" xfId="2" applyNumberFormat="1" applyFont="1" applyBorder="1"/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4" fillId="0" borderId="30" xfId="0" applyFont="1" applyBorder="1" applyAlignment="1">
      <alignment horizontal="center" vertical="top" wrapText="1"/>
    </xf>
    <xf numFmtId="0" fontId="5" fillId="0" borderId="9" xfId="0" applyFont="1" applyFill="1" applyBorder="1"/>
    <xf numFmtId="165" fontId="13" fillId="0" borderId="26" xfId="0" applyNumberFormat="1" applyFont="1" applyBorder="1" applyAlignment="1">
      <alignment wrapText="1"/>
    </xf>
    <xf numFmtId="0" fontId="3" fillId="0" borderId="31" xfId="0" applyFont="1" applyBorder="1" applyAlignment="1">
      <alignment horizontal="left" vertical="center" wrapText="1"/>
    </xf>
    <xf numFmtId="165" fontId="14" fillId="0" borderId="27" xfId="0" applyNumberFormat="1" applyFont="1" applyBorder="1" applyAlignment="1">
      <alignment wrapText="1"/>
    </xf>
    <xf numFmtId="1" fontId="11" fillId="0" borderId="34" xfId="0" applyNumberFormat="1" applyFont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3" fillId="0" borderId="8" xfId="0" applyFont="1" applyBorder="1"/>
    <xf numFmtId="0" fontId="0" fillId="0" borderId="8" xfId="0" applyBorder="1"/>
    <xf numFmtId="0" fontId="0" fillId="0" borderId="9" xfId="0" applyBorder="1"/>
    <xf numFmtId="165" fontId="13" fillId="0" borderId="9" xfId="2" applyNumberFormat="1" applyFont="1" applyBorder="1" applyAlignment="1">
      <alignment horizontal="center"/>
    </xf>
    <xf numFmtId="0" fontId="13" fillId="0" borderId="11" xfId="0" applyFont="1" applyBorder="1"/>
    <xf numFmtId="0" fontId="13" fillId="0" borderId="15" xfId="0" applyFont="1" applyBorder="1"/>
    <xf numFmtId="0" fontId="14" fillId="0" borderId="31" xfId="0" applyFont="1" applyBorder="1" applyAlignment="1">
      <alignment horizontal="left" vertical="center" wrapText="1"/>
    </xf>
    <xf numFmtId="1" fontId="14" fillId="0" borderId="3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8" xfId="0" applyFont="1" applyBorder="1"/>
    <xf numFmtId="164" fontId="18" fillId="0" borderId="9" xfId="0" applyNumberFormat="1" applyFont="1" applyBorder="1"/>
    <xf numFmtId="165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0" fontId="10" fillId="0" borderId="11" xfId="0" applyFont="1" applyBorder="1"/>
    <xf numFmtId="164" fontId="18" fillId="0" borderId="10" xfId="0" applyNumberFormat="1" applyFont="1" applyBorder="1"/>
    <xf numFmtId="165" fontId="13" fillId="0" borderId="10" xfId="2" applyNumberFormat="1" applyFont="1" applyBorder="1" applyAlignment="1">
      <alignment horizontal="center"/>
    </xf>
    <xf numFmtId="0" fontId="10" fillId="0" borderId="15" xfId="0" applyFont="1" applyBorder="1"/>
    <xf numFmtId="164" fontId="18" fillId="0" borderId="6" xfId="0" applyNumberFormat="1" applyFont="1" applyBorder="1"/>
    <xf numFmtId="164" fontId="13" fillId="0" borderId="6" xfId="0" applyNumberFormat="1" applyFont="1" applyBorder="1"/>
    <xf numFmtId="165" fontId="13" fillId="0" borderId="6" xfId="2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15" fillId="0" borderId="31" xfId="0" applyFont="1" applyBorder="1" applyAlignment="1">
      <alignment wrapText="1"/>
    </xf>
    <xf numFmtId="164" fontId="18" fillId="0" borderId="34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164" fontId="14" fillId="0" borderId="34" xfId="0" applyNumberFormat="1" applyFont="1" applyBorder="1" applyAlignment="1">
      <alignment horizontal="center"/>
    </xf>
    <xf numFmtId="165" fontId="14" fillId="0" borderId="34" xfId="2" applyNumberFormat="1" applyFont="1" applyBorder="1" applyAlignment="1">
      <alignment horizontal="center"/>
    </xf>
    <xf numFmtId="165" fontId="3" fillId="0" borderId="34" xfId="2" applyNumberFormat="1" applyFont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65" fontId="2" fillId="0" borderId="34" xfId="2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165" fontId="3" fillId="0" borderId="27" xfId="2" applyNumberFormat="1" applyFont="1" applyBorder="1" applyAlignment="1">
      <alignment horizontal="center"/>
    </xf>
    <xf numFmtId="164" fontId="18" fillId="0" borderId="34" xfId="0" applyNumberFormat="1" applyFont="1" applyBorder="1"/>
    <xf numFmtId="164" fontId="13" fillId="0" borderId="34" xfId="0" applyNumberFormat="1" applyFont="1" applyBorder="1"/>
    <xf numFmtId="164" fontId="14" fillId="0" borderId="34" xfId="0" applyNumberFormat="1" applyFont="1" applyBorder="1" applyAlignment="1"/>
    <xf numFmtId="164" fontId="14" fillId="0" borderId="34" xfId="0" applyNumberFormat="1" applyFont="1" applyBorder="1"/>
    <xf numFmtId="1" fontId="2" fillId="0" borderId="34" xfId="0" applyNumberFormat="1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168" fontId="14" fillId="0" borderId="34" xfId="0" applyNumberFormat="1" applyFont="1" applyBorder="1" applyAlignment="1">
      <alignment horizontal="center" wrapText="1"/>
    </xf>
    <xf numFmtId="3" fontId="14" fillId="0" borderId="34" xfId="0" applyNumberFormat="1" applyFont="1" applyBorder="1" applyAlignment="1">
      <alignment wrapText="1"/>
    </xf>
    <xf numFmtId="0" fontId="13" fillId="0" borderId="34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4" xfId="0" applyFont="1" applyBorder="1"/>
    <xf numFmtId="164" fontId="2" fillId="0" borderId="9" xfId="0" applyNumberFormat="1" applyFont="1" applyBorder="1" applyAlignment="1">
      <alignment horizontal="left"/>
    </xf>
    <xf numFmtId="164" fontId="14" fillId="0" borderId="9" xfId="0" applyNumberFormat="1" applyFont="1" applyBorder="1" applyAlignment="1">
      <alignment horizontal="left"/>
    </xf>
    <xf numFmtId="164" fontId="3" fillId="0" borderId="17" xfId="0" applyNumberFormat="1" applyFont="1" applyBorder="1" applyAlignment="1">
      <alignment horizontal="left"/>
    </xf>
    <xf numFmtId="10" fontId="3" fillId="0" borderId="37" xfId="0" applyNumberFormat="1" applyFont="1" applyFill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left"/>
    </xf>
    <xf numFmtId="0" fontId="11" fillId="0" borderId="8" xfId="0" applyFont="1" applyBorder="1"/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11" fillId="0" borderId="9" xfId="0" applyFont="1" applyBorder="1" applyAlignment="1">
      <alignment horizontal="left" vertical="center" wrapText="1"/>
    </xf>
    <xf numFmtId="165" fontId="11" fillId="0" borderId="37" xfId="0" applyNumberFormat="1" applyFont="1" applyBorder="1"/>
    <xf numFmtId="164" fontId="2" fillId="0" borderId="9" xfId="0" applyNumberFormat="1" applyFont="1" applyFill="1" applyBorder="1" applyAlignment="1">
      <alignment horizontal="center"/>
    </xf>
    <xf numFmtId="0" fontId="2" fillId="0" borderId="59" xfId="0" applyFont="1" applyBorder="1"/>
    <xf numFmtId="165" fontId="2" fillId="0" borderId="4" xfId="0" applyNumberFormat="1" applyFont="1" applyBorder="1"/>
    <xf numFmtId="1" fontId="14" fillId="0" borderId="5" xfId="0" applyNumberFormat="1" applyFont="1" applyBorder="1"/>
    <xf numFmtId="0" fontId="14" fillId="0" borderId="59" xfId="0" applyFont="1" applyBorder="1"/>
    <xf numFmtId="165" fontId="14" fillId="0" borderId="4" xfId="0" applyNumberFormat="1" applyFont="1" applyBorder="1"/>
    <xf numFmtId="1" fontId="2" fillId="0" borderId="59" xfId="0" applyNumberFormat="1" applyFont="1" applyBorder="1"/>
    <xf numFmtId="165" fontId="14" fillId="0" borderId="28" xfId="0" applyNumberFormat="1" applyFont="1" applyBorder="1"/>
    <xf numFmtId="0" fontId="2" fillId="0" borderId="4" xfId="0" applyFont="1" applyBorder="1"/>
    <xf numFmtId="165" fontId="14" fillId="0" borderId="5" xfId="2" applyNumberFormat="1" applyFont="1" applyBorder="1"/>
    <xf numFmtId="1" fontId="14" fillId="0" borderId="28" xfId="0" applyNumberFormat="1" applyFont="1" applyBorder="1"/>
    <xf numFmtId="1" fontId="2" fillId="0" borderId="59" xfId="0" applyNumberFormat="1" applyFont="1" applyBorder="1" applyAlignment="1">
      <alignment horizontal="center"/>
    </xf>
    <xf numFmtId="165" fontId="2" fillId="0" borderId="59" xfId="2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65" fontId="14" fillId="0" borderId="5" xfId="2" applyNumberFormat="1" applyFont="1" applyBorder="1" applyAlignment="1">
      <alignment horizontal="center"/>
    </xf>
    <xf numFmtId="165" fontId="14" fillId="0" borderId="28" xfId="0" applyNumberFormat="1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165" fontId="6" fillId="0" borderId="21" xfId="2" applyNumberFormat="1" applyFont="1" applyBorder="1" applyAlignment="1">
      <alignment horizontal="center"/>
    </xf>
    <xf numFmtId="165" fontId="6" fillId="0" borderId="63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4" fillId="0" borderId="64" xfId="0" applyFont="1" applyBorder="1" applyAlignment="1"/>
    <xf numFmtId="0" fontId="4" fillId="0" borderId="65" xfId="0" applyFont="1" applyBorder="1" applyAlignment="1"/>
    <xf numFmtId="0" fontId="1" fillId="0" borderId="0" xfId="0" applyFont="1"/>
    <xf numFmtId="164" fontId="2" fillId="0" borderId="10" xfId="0" applyNumberFormat="1" applyFont="1" applyFill="1" applyBorder="1"/>
    <xf numFmtId="10" fontId="2" fillId="0" borderId="4" xfId="0" applyNumberFormat="1" applyFont="1" applyBorder="1"/>
    <xf numFmtId="10" fontId="14" fillId="0" borderId="7" xfId="0" applyNumberFormat="1" applyFont="1" applyBorder="1"/>
    <xf numFmtId="165" fontId="2" fillId="0" borderId="21" xfId="2" applyNumberFormat="1" applyFont="1" applyBorder="1"/>
    <xf numFmtId="165" fontId="2" fillId="0" borderId="59" xfId="2" applyNumberFormat="1" applyFont="1" applyBorder="1"/>
    <xf numFmtId="0" fontId="17" fillId="0" borderId="21" xfId="0" applyFont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5" fontId="2" fillId="0" borderId="7" xfId="2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right"/>
    </xf>
    <xf numFmtId="41" fontId="5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0" xfId="0" applyFill="1"/>
    <xf numFmtId="1" fontId="2" fillId="0" borderId="3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3" fillId="0" borderId="0" xfId="0" applyFont="1" applyFill="1"/>
    <xf numFmtId="0" fontId="15" fillId="0" borderId="31" xfId="0" applyFont="1" applyFill="1" applyBorder="1" applyAlignment="1">
      <alignment wrapText="1"/>
    </xf>
    <xf numFmtId="164" fontId="18" fillId="0" borderId="34" xfId="0" applyNumberFormat="1" applyFont="1" applyFill="1" applyBorder="1" applyAlignment="1">
      <alignment horizontal="center"/>
    </xf>
    <xf numFmtId="164" fontId="13" fillId="0" borderId="34" xfId="0" applyNumberFormat="1" applyFont="1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center"/>
    </xf>
    <xf numFmtId="165" fontId="14" fillId="0" borderId="34" xfId="2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5" fontId="3" fillId="0" borderId="34" xfId="2" applyNumberFormat="1" applyFont="1" applyFill="1" applyBorder="1" applyAlignment="1">
      <alignment horizontal="center"/>
    </xf>
    <xf numFmtId="1" fontId="0" fillId="0" borderId="0" xfId="0" applyNumberFormat="1"/>
    <xf numFmtId="1" fontId="14" fillId="0" borderId="5" xfId="0" applyNumberFormat="1" applyFont="1" applyFill="1" applyBorder="1"/>
    <xf numFmtId="10" fontId="2" fillId="0" borderId="37" xfId="0" applyNumberFormat="1" applyFont="1" applyBorder="1"/>
    <xf numFmtId="165" fontId="14" fillId="0" borderId="28" xfId="0" applyNumberFormat="1" applyFont="1" applyBorder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/>
    <xf numFmtId="165" fontId="0" fillId="0" borderId="0" xfId="0" applyNumberFormat="1"/>
    <xf numFmtId="165" fontId="2" fillId="0" borderId="26" xfId="2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165" fontId="2" fillId="0" borderId="48" xfId="2" applyNumberFormat="1" applyFont="1" applyBorder="1" applyAlignment="1">
      <alignment horizontal="center"/>
    </xf>
    <xf numFmtId="165" fontId="2" fillId="0" borderId="37" xfId="2" applyNumberFormat="1" applyFont="1" applyFill="1" applyBorder="1" applyAlignment="1">
      <alignment horizontal="center"/>
    </xf>
    <xf numFmtId="164" fontId="2" fillId="0" borderId="6" xfId="0" applyNumberFormat="1" applyFont="1" applyFill="1" applyBorder="1"/>
    <xf numFmtId="165" fontId="2" fillId="0" borderId="30" xfId="2" applyNumberFormat="1" applyFont="1" applyFill="1" applyBorder="1" applyAlignment="1">
      <alignment horizontal="center"/>
    </xf>
    <xf numFmtId="165" fontId="2" fillId="0" borderId="27" xfId="2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14" fillId="0" borderId="27" xfId="2" applyNumberFormat="1" applyFont="1" applyBorder="1" applyAlignment="1">
      <alignment horizontal="center"/>
    </xf>
    <xf numFmtId="165" fontId="2" fillId="0" borderId="30" xfId="2" applyNumberFormat="1" applyFont="1" applyBorder="1"/>
    <xf numFmtId="165" fontId="13" fillId="0" borderId="7" xfId="0" applyNumberFormat="1" applyFont="1" applyBorder="1" applyAlignment="1">
      <alignment wrapText="1"/>
    </xf>
    <xf numFmtId="165" fontId="13" fillId="0" borderId="59" xfId="2" applyNumberFormat="1" applyFont="1" applyBorder="1"/>
    <xf numFmtId="165" fontId="13" fillId="0" borderId="9" xfId="2" applyNumberFormat="1" applyFont="1" applyBorder="1"/>
    <xf numFmtId="1" fontId="13" fillId="0" borderId="9" xfId="0" applyNumberFormat="1" applyFont="1" applyBorder="1" applyAlignment="1">
      <alignment horizontal="center"/>
    </xf>
    <xf numFmtId="165" fontId="2" fillId="0" borderId="26" xfId="2" applyNumberFormat="1" applyFont="1" applyBorder="1"/>
    <xf numFmtId="0" fontId="4" fillId="0" borderId="0" xfId="0" applyFont="1" applyFill="1" applyAlignment="1"/>
    <xf numFmtId="0" fontId="2" fillId="0" borderId="0" xfId="0" applyFont="1" applyFill="1"/>
    <xf numFmtId="0" fontId="6" fillId="0" borderId="9" xfId="0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/>
    <xf numFmtId="0" fontId="14" fillId="0" borderId="0" xfId="0" applyFont="1" applyFill="1" applyAlignment="1"/>
    <xf numFmtId="0" fontId="2" fillId="0" borderId="9" xfId="0" applyFont="1" applyFill="1" applyBorder="1"/>
    <xf numFmtId="0" fontId="2" fillId="0" borderId="10" xfId="0" applyFont="1" applyFill="1" applyBorder="1"/>
    <xf numFmtId="1" fontId="2" fillId="0" borderId="59" xfId="0" applyNumberFormat="1" applyFont="1" applyFill="1" applyBorder="1"/>
    <xf numFmtId="0" fontId="2" fillId="0" borderId="59" xfId="0" applyFont="1" applyFill="1" applyBorder="1"/>
    <xf numFmtId="0" fontId="2" fillId="0" borderId="6" xfId="0" applyFont="1" applyFill="1" applyBorder="1"/>
    <xf numFmtId="0" fontId="14" fillId="0" borderId="59" xfId="0" applyFont="1" applyFill="1" applyBorder="1"/>
    <xf numFmtId="165" fontId="2" fillId="0" borderId="9" xfId="2" applyNumberFormat="1" applyFont="1" applyFill="1" applyBorder="1"/>
    <xf numFmtId="165" fontId="2" fillId="0" borderId="10" xfId="2" applyNumberFormat="1" applyFont="1" applyFill="1" applyBorder="1"/>
    <xf numFmtId="165" fontId="14" fillId="0" borderId="5" xfId="2" applyNumberFormat="1" applyFont="1" applyFill="1" applyBorder="1"/>
    <xf numFmtId="165" fontId="2" fillId="0" borderId="6" xfId="2" applyNumberFormat="1" applyFont="1" applyFill="1" applyBorder="1"/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wrapText="1"/>
    </xf>
    <xf numFmtId="1" fontId="14" fillId="0" borderId="34" xfId="0" applyNumberFormat="1" applyFont="1" applyFill="1" applyBorder="1" applyAlignment="1">
      <alignment wrapText="1"/>
    </xf>
    <xf numFmtId="164" fontId="13" fillId="0" borderId="9" xfId="0" applyNumberFormat="1" applyFont="1" applyBorder="1" applyAlignment="1">
      <alignment horizontal="left"/>
    </xf>
    <xf numFmtId="165" fontId="1" fillId="0" borderId="26" xfId="0" applyNumberFormat="1" applyFont="1" applyBorder="1"/>
    <xf numFmtId="0" fontId="1" fillId="0" borderId="9" xfId="0" applyFont="1" applyBorder="1" applyAlignment="1">
      <alignment horizontal="left" vertical="center" wrapText="1"/>
    </xf>
    <xf numFmtId="1" fontId="13" fillId="0" borderId="8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65" fontId="14" fillId="0" borderId="63" xfId="2" applyNumberFormat="1" applyFont="1" applyFill="1" applyBorder="1" applyAlignment="1">
      <alignment horizontal="center"/>
    </xf>
    <xf numFmtId="1" fontId="14" fillId="0" borderId="31" xfId="0" applyNumberFormat="1" applyFont="1" applyFill="1" applyBorder="1" applyAlignment="1">
      <alignment horizontal="center"/>
    </xf>
    <xf numFmtId="165" fontId="14" fillId="0" borderId="27" xfId="2" applyNumberFormat="1" applyFont="1" applyFill="1" applyBorder="1" applyAlignment="1">
      <alignment horizontal="center"/>
    </xf>
    <xf numFmtId="165" fontId="14" fillId="0" borderId="7" xfId="2" applyNumberFormat="1" applyFont="1" applyFill="1" applyBorder="1" applyAlignment="1">
      <alignment horizontal="center"/>
    </xf>
    <xf numFmtId="165" fontId="14" fillId="0" borderId="7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0" xfId="0" applyFont="1" applyFill="1" applyBorder="1"/>
    <xf numFmtId="0" fontId="2" fillId="0" borderId="41" xfId="0" applyFont="1" applyFill="1" applyBorder="1"/>
    <xf numFmtId="0" fontId="2" fillId="0" borderId="61" xfId="0" applyFont="1" applyFill="1" applyBorder="1"/>
    <xf numFmtId="1" fontId="14" fillId="0" borderId="47" xfId="0" applyNumberFormat="1" applyFont="1" applyFill="1" applyBorder="1"/>
    <xf numFmtId="0" fontId="2" fillId="0" borderId="45" xfId="0" applyFont="1" applyFill="1" applyBorder="1"/>
    <xf numFmtId="0" fontId="2" fillId="0" borderId="15" xfId="0" applyFont="1" applyBorder="1" applyAlignment="1">
      <alignment horizontal="center"/>
    </xf>
    <xf numFmtId="1" fontId="2" fillId="0" borderId="58" xfId="0" applyNumberFormat="1" applyFont="1" applyBorder="1"/>
    <xf numFmtId="1" fontId="14" fillId="0" borderId="68" xfId="0" applyNumberFormat="1" applyFont="1" applyBorder="1"/>
    <xf numFmtId="0" fontId="2" fillId="0" borderId="58" xfId="0" applyFont="1" applyBorder="1"/>
    <xf numFmtId="0" fontId="2" fillId="0" borderId="63" xfId="0" applyFont="1" applyBorder="1"/>
    <xf numFmtId="0" fontId="2" fillId="0" borderId="30" xfId="0" applyFont="1" applyBorder="1"/>
    <xf numFmtId="0" fontId="4" fillId="0" borderId="1" xfId="0" applyFont="1" applyBorder="1" applyAlignment="1">
      <alignment horizontal="center"/>
    </xf>
    <xf numFmtId="165" fontId="2" fillId="0" borderId="42" xfId="2" applyNumberFormat="1" applyFont="1" applyBorder="1" applyAlignment="1">
      <alignment horizontal="center"/>
    </xf>
    <xf numFmtId="165" fontId="2" fillId="0" borderId="44" xfId="2" applyNumberFormat="1" applyFont="1" applyBorder="1" applyAlignment="1">
      <alignment horizontal="center"/>
    </xf>
    <xf numFmtId="165" fontId="2" fillId="0" borderId="65" xfId="2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14" fillId="0" borderId="58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5" fontId="5" fillId="0" borderId="9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165" fontId="4" fillId="0" borderId="34" xfId="0" applyNumberFormat="1" applyFont="1" applyBorder="1" applyAlignment="1">
      <alignment wrapText="1"/>
    </xf>
    <xf numFmtId="165" fontId="5" fillId="0" borderId="6" xfId="0" applyNumberFormat="1" applyFont="1" applyBorder="1" applyAlignment="1">
      <alignment wrapText="1"/>
    </xf>
    <xf numFmtId="165" fontId="5" fillId="0" borderId="34" xfId="0" applyNumberFormat="1" applyFont="1" applyFill="1" applyBorder="1" applyAlignment="1">
      <alignment wrapText="1"/>
    </xf>
    <xf numFmtId="165" fontId="14" fillId="0" borderId="63" xfId="0" applyNumberFormat="1" applyFont="1" applyBorder="1"/>
    <xf numFmtId="165" fontId="5" fillId="0" borderId="26" xfId="0" applyNumberFormat="1" applyFont="1" applyFill="1" applyBorder="1" applyAlignment="1">
      <alignment wrapText="1"/>
    </xf>
    <xf numFmtId="165" fontId="11" fillId="0" borderId="2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" fontId="14" fillId="0" borderId="34" xfId="0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left"/>
    </xf>
    <xf numFmtId="1" fontId="2" fillId="0" borderId="9" xfId="0" applyNumberFormat="1" applyFont="1" applyBorder="1" applyAlignment="1">
      <alignment horizontal="center"/>
    </xf>
    <xf numFmtId="165" fontId="14" fillId="0" borderId="65" xfId="2" applyNumberFormat="1" applyFont="1" applyBorder="1" applyAlignment="1">
      <alignment horizontal="center"/>
    </xf>
    <xf numFmtId="10" fontId="13" fillId="0" borderId="59" xfId="2" applyNumberFormat="1" applyFont="1" applyBorder="1" applyAlignment="1">
      <alignment horizontal="center"/>
    </xf>
    <xf numFmtId="1" fontId="13" fillId="0" borderId="59" xfId="0" applyNumberFormat="1" applyFont="1" applyBorder="1" applyAlignment="1">
      <alignment horizontal="center"/>
    </xf>
    <xf numFmtId="10" fontId="13" fillId="0" borderId="9" xfId="2" applyNumberFormat="1" applyFont="1" applyBorder="1" applyAlignment="1">
      <alignment horizontal="center"/>
    </xf>
    <xf numFmtId="0" fontId="2" fillId="0" borderId="60" xfId="0" applyFont="1" applyBorder="1"/>
    <xf numFmtId="0" fontId="2" fillId="0" borderId="21" xfId="0" applyFont="1" applyBorder="1"/>
    <xf numFmtId="165" fontId="13" fillId="0" borderId="37" xfId="0" applyNumberFormat="1" applyFont="1" applyBorder="1" applyAlignment="1">
      <alignment wrapText="1"/>
    </xf>
    <xf numFmtId="169" fontId="0" fillId="0" borderId="0" xfId="0" applyNumberFormat="1"/>
    <xf numFmtId="165" fontId="14" fillId="0" borderId="33" xfId="2" applyNumberFormat="1" applyFont="1" applyBorder="1" applyAlignment="1">
      <alignment horizontal="center"/>
    </xf>
    <xf numFmtId="165" fontId="2" fillId="0" borderId="0" xfId="0" applyNumberFormat="1" applyFont="1"/>
    <xf numFmtId="1" fontId="13" fillId="0" borderId="15" xfId="0" applyNumberFormat="1" applyFont="1" applyBorder="1"/>
    <xf numFmtId="165" fontId="13" fillId="0" borderId="6" xfId="2" applyNumberFormat="1" applyFont="1" applyBorder="1"/>
    <xf numFmtId="1" fontId="13" fillId="0" borderId="6" xfId="0" applyNumberFormat="1" applyFont="1" applyBorder="1"/>
    <xf numFmtId="1" fontId="13" fillId="0" borderId="7" xfId="0" applyNumberFormat="1" applyFont="1" applyBorder="1"/>
    <xf numFmtId="1" fontId="13" fillId="0" borderId="5" xfId="0" applyNumberFormat="1" applyFont="1" applyFill="1" applyBorder="1"/>
    <xf numFmtId="165" fontId="13" fillId="0" borderId="5" xfId="2" applyNumberFormat="1" applyFont="1" applyFill="1" applyBorder="1"/>
    <xf numFmtId="1" fontId="13" fillId="0" borderId="47" xfId="0" applyNumberFormat="1" applyFont="1" applyFill="1" applyBorder="1"/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5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60" xfId="0" applyFont="1" applyBorder="1" applyAlignment="1">
      <alignment horizontal="center"/>
    </xf>
    <xf numFmtId="0" fontId="3" fillId="0" borderId="66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/>
    </xf>
    <xf numFmtId="0" fontId="10" fillId="0" borderId="32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8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6" fontId="13" fillId="0" borderId="0" xfId="0" applyNumberFormat="1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5" fontId="13" fillId="0" borderId="0" xfId="0" applyNumberFormat="1" applyFont="1" applyAlignment="1">
      <alignment horizontal="left"/>
    </xf>
    <xf numFmtId="0" fontId="14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15" fontId="17" fillId="0" borderId="0" xfId="0" applyNumberFormat="1" applyFont="1" applyAlignment="1">
      <alignment horizontal="left"/>
    </xf>
    <xf numFmtId="0" fontId="14" fillId="0" borderId="4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6" fontId="17" fillId="0" borderId="0" xfId="0" applyNumberFormat="1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4" fillId="0" borderId="35" xfId="0" applyFont="1" applyBorder="1" applyAlignment="1">
      <alignment horizontal="left"/>
    </xf>
    <xf numFmtId="0" fontId="14" fillId="0" borderId="4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5" fillId="0" borderId="63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left" vertical="center" wrapText="1"/>
    </xf>
    <xf numFmtId="165" fontId="5" fillId="0" borderId="27" xfId="0" applyNumberFormat="1" applyFont="1" applyFill="1" applyBorder="1" applyAlignment="1">
      <alignment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workbookViewId="0">
      <selection activeCell="P7" sqref="P7:P24"/>
    </sheetView>
  </sheetViews>
  <sheetFormatPr defaultRowHeight="12.75"/>
  <cols>
    <col min="1" max="1" width="16" customWidth="1"/>
    <col min="2" max="2" width="8" customWidth="1"/>
    <col min="3" max="3" width="7.7109375" customWidth="1"/>
    <col min="4" max="4" width="8.42578125" customWidth="1"/>
    <col min="5" max="5" width="7.28515625" customWidth="1"/>
    <col min="6" max="6" width="6.28515625" customWidth="1"/>
    <col min="7" max="7" width="7" customWidth="1"/>
    <col min="8" max="8" width="7.5703125" customWidth="1"/>
    <col min="9" max="9" width="8.140625" customWidth="1"/>
    <col min="10" max="10" width="7.85546875" customWidth="1"/>
    <col min="11" max="11" width="8.5703125" customWidth="1"/>
    <col min="12" max="12" width="7.42578125" customWidth="1"/>
    <col min="13" max="13" width="6.5703125" customWidth="1"/>
    <col min="14" max="14" width="7" customWidth="1"/>
    <col min="15" max="15" width="7.7109375" customWidth="1"/>
    <col min="16" max="16" width="7.5703125" bestFit="1" customWidth="1"/>
    <col min="17" max="17" width="7.5703125" style="312" bestFit="1" customWidth="1"/>
    <col min="18" max="18" width="10.42578125" customWidth="1"/>
  </cols>
  <sheetData>
    <row r="1" spans="1:22">
      <c r="A1" s="123" t="s">
        <v>95</v>
      </c>
      <c r="P1" s="440"/>
      <c r="Q1" s="440"/>
      <c r="R1" s="440"/>
    </row>
    <row r="2" spans="1:22">
      <c r="A2" s="25"/>
      <c r="B2" s="28"/>
      <c r="C2" s="28"/>
      <c r="D2" s="44" t="s">
        <v>94</v>
      </c>
      <c r="E2" s="44"/>
      <c r="F2" s="44"/>
      <c r="G2" s="44"/>
      <c r="H2" s="44"/>
      <c r="I2" s="44"/>
      <c r="J2" s="44"/>
      <c r="K2" s="44"/>
      <c r="L2" s="44"/>
      <c r="M2" s="44"/>
      <c r="N2" s="28"/>
      <c r="O2" s="28"/>
      <c r="P2" s="28"/>
      <c r="Q2" s="351"/>
      <c r="R2" s="28"/>
    </row>
    <row r="3" spans="1:22">
      <c r="A3" s="28"/>
      <c r="B3" s="28"/>
      <c r="C3" s="28"/>
      <c r="D3" s="175" t="s">
        <v>144</v>
      </c>
      <c r="E3" s="44"/>
      <c r="F3" s="44"/>
      <c r="G3" s="44"/>
      <c r="H3" s="44"/>
      <c r="I3" s="44"/>
      <c r="J3" s="44"/>
      <c r="K3" s="44"/>
      <c r="L3" s="44"/>
      <c r="M3" s="44"/>
      <c r="N3" s="28"/>
      <c r="O3" s="28"/>
      <c r="P3" s="28"/>
      <c r="Q3" s="351"/>
      <c r="R3" s="28"/>
    </row>
    <row r="4" spans="1:22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52"/>
      <c r="R4" s="1"/>
    </row>
    <row r="5" spans="1:22">
      <c r="A5" s="444" t="s">
        <v>0</v>
      </c>
      <c r="B5" s="439" t="s">
        <v>8</v>
      </c>
      <c r="C5" s="439"/>
      <c r="D5" s="439"/>
      <c r="E5" s="439"/>
      <c r="F5" s="439"/>
      <c r="G5" s="439"/>
      <c r="H5" s="439"/>
      <c r="I5" s="439" t="s">
        <v>9</v>
      </c>
      <c r="J5" s="439"/>
      <c r="K5" s="439"/>
      <c r="L5" s="439"/>
      <c r="M5" s="439"/>
      <c r="N5" s="439"/>
      <c r="O5" s="439"/>
      <c r="P5" s="446" t="s">
        <v>117</v>
      </c>
      <c r="Q5" s="447"/>
      <c r="R5" s="442" t="s">
        <v>116</v>
      </c>
    </row>
    <row r="6" spans="1:22" ht="18" customHeight="1">
      <c r="A6" s="445"/>
      <c r="B6" s="178" t="s">
        <v>1</v>
      </c>
      <c r="C6" s="178" t="s">
        <v>2</v>
      </c>
      <c r="D6" s="178" t="s">
        <v>3</v>
      </c>
      <c r="E6" s="178" t="s">
        <v>4</v>
      </c>
      <c r="F6" s="178" t="s">
        <v>5</v>
      </c>
      <c r="G6" s="178" t="s">
        <v>6</v>
      </c>
      <c r="H6" s="178" t="s">
        <v>10</v>
      </c>
      <c r="I6" s="179" t="s">
        <v>1</v>
      </c>
      <c r="J6" s="179" t="s">
        <v>2</v>
      </c>
      <c r="K6" s="179" t="s">
        <v>3</v>
      </c>
      <c r="L6" s="179" t="s">
        <v>4</v>
      </c>
      <c r="M6" s="179" t="s">
        <v>5</v>
      </c>
      <c r="N6" s="179" t="s">
        <v>6</v>
      </c>
      <c r="O6" s="179" t="s">
        <v>10</v>
      </c>
      <c r="P6" s="179">
        <v>2018</v>
      </c>
      <c r="Q6" s="353">
        <v>2017</v>
      </c>
      <c r="R6" s="443"/>
    </row>
    <row r="7" spans="1:22" ht="15.95" customHeight="1">
      <c r="A7" s="15" t="s">
        <v>19</v>
      </c>
      <c r="B7" s="26">
        <v>1951</v>
      </c>
      <c r="C7" s="26">
        <v>1492</v>
      </c>
      <c r="D7" s="26">
        <v>3556</v>
      </c>
      <c r="E7" s="26">
        <v>2054</v>
      </c>
      <c r="F7" s="26">
        <v>2357</v>
      </c>
      <c r="G7" s="26">
        <f t="shared" ref="G7:G12" si="0">SUM(B7:F7)</f>
        <v>11410</v>
      </c>
      <c r="H7" s="180">
        <f t="shared" ref="H7:H12" si="1">+G7/P7</f>
        <v>0.4399629829567363</v>
      </c>
      <c r="I7" s="26">
        <v>2025</v>
      </c>
      <c r="J7" s="26">
        <v>1846</v>
      </c>
      <c r="K7" s="26">
        <v>5079</v>
      </c>
      <c r="L7" s="26">
        <v>2357</v>
      </c>
      <c r="M7" s="26">
        <v>3217</v>
      </c>
      <c r="N7" s="26">
        <f t="shared" ref="N7:N12" si="2">SUM(I7:M7)</f>
        <v>14524</v>
      </c>
      <c r="O7" s="180">
        <f t="shared" ref="O7:O12" si="3">+N7/P7</f>
        <v>0.5600370170432637</v>
      </c>
      <c r="P7" s="26">
        <f t="shared" ref="P7:P12" si="4">+G7+N7</f>
        <v>25934</v>
      </c>
      <c r="Q7" s="181">
        <v>27211</v>
      </c>
      <c r="R7" s="168">
        <f t="shared" ref="R7:R12" si="5">+(P7/Q7)-1</f>
        <v>-4.6929550549410171E-2</v>
      </c>
      <c r="T7" s="331"/>
      <c r="U7" s="295"/>
      <c r="V7" s="331"/>
    </row>
    <row r="8" spans="1:22" ht="15.95" customHeight="1">
      <c r="A8" s="15" t="s">
        <v>20</v>
      </c>
      <c r="B8" s="26">
        <v>1534</v>
      </c>
      <c r="C8" s="26">
        <v>1290</v>
      </c>
      <c r="D8" s="26">
        <v>3363</v>
      </c>
      <c r="E8" s="26">
        <v>1762</v>
      </c>
      <c r="F8" s="26">
        <v>1940</v>
      </c>
      <c r="G8" s="26">
        <f t="shared" si="0"/>
        <v>9889</v>
      </c>
      <c r="H8" s="180">
        <f t="shared" si="1"/>
        <v>0.41787449820409889</v>
      </c>
      <c r="I8" s="26">
        <v>1824</v>
      </c>
      <c r="J8" s="26">
        <v>1717</v>
      </c>
      <c r="K8" s="26">
        <v>4977</v>
      </c>
      <c r="L8" s="26">
        <v>2266</v>
      </c>
      <c r="M8" s="26">
        <v>2992</v>
      </c>
      <c r="N8" s="26">
        <f t="shared" si="2"/>
        <v>13776</v>
      </c>
      <c r="O8" s="180">
        <f t="shared" si="3"/>
        <v>0.58212550179590117</v>
      </c>
      <c r="P8" s="26">
        <f t="shared" si="4"/>
        <v>23665</v>
      </c>
      <c r="Q8" s="181">
        <v>26432</v>
      </c>
      <c r="R8" s="168">
        <f t="shared" si="5"/>
        <v>-0.10468371670702181</v>
      </c>
    </row>
    <row r="9" spans="1:22" ht="15.95" customHeight="1">
      <c r="A9" s="15" t="s">
        <v>21</v>
      </c>
      <c r="B9" s="26">
        <v>1518</v>
      </c>
      <c r="C9" s="26">
        <v>1164</v>
      </c>
      <c r="D9" s="26">
        <v>3126</v>
      </c>
      <c r="E9" s="26">
        <v>1647</v>
      </c>
      <c r="F9" s="26">
        <v>1445</v>
      </c>
      <c r="G9" s="26">
        <f t="shared" si="0"/>
        <v>8900</v>
      </c>
      <c r="H9" s="180">
        <f t="shared" si="1"/>
        <v>0.42058503851424789</v>
      </c>
      <c r="I9" s="26">
        <v>1795</v>
      </c>
      <c r="J9" s="26">
        <v>1493</v>
      </c>
      <c r="K9" s="26">
        <v>4686</v>
      </c>
      <c r="L9" s="26">
        <v>2050</v>
      </c>
      <c r="M9" s="26">
        <v>2237</v>
      </c>
      <c r="N9" s="26">
        <f t="shared" si="2"/>
        <v>12261</v>
      </c>
      <c r="O9" s="180">
        <f t="shared" si="3"/>
        <v>0.57941496148575211</v>
      </c>
      <c r="P9" s="26">
        <f t="shared" si="4"/>
        <v>21161</v>
      </c>
      <c r="Q9" s="181">
        <v>24440</v>
      </c>
      <c r="R9" s="168">
        <f t="shared" si="5"/>
        <v>-0.13416530278232408</v>
      </c>
    </row>
    <row r="10" spans="1:22" ht="15.95" customHeight="1">
      <c r="A10" s="15" t="s">
        <v>22</v>
      </c>
      <c r="B10" s="26">
        <v>1468</v>
      </c>
      <c r="C10" s="26">
        <v>954</v>
      </c>
      <c r="D10" s="26">
        <v>2310</v>
      </c>
      <c r="E10" s="26">
        <v>1502</v>
      </c>
      <c r="F10" s="26">
        <v>936</v>
      </c>
      <c r="G10" s="26">
        <f t="shared" si="0"/>
        <v>7170</v>
      </c>
      <c r="H10" s="180">
        <f t="shared" si="1"/>
        <v>0.42579725636914306</v>
      </c>
      <c r="I10" s="26">
        <v>1796</v>
      </c>
      <c r="J10" s="26">
        <v>1222</v>
      </c>
      <c r="K10" s="26">
        <v>3401</v>
      </c>
      <c r="L10" s="26">
        <v>1888</v>
      </c>
      <c r="M10" s="26">
        <v>1362</v>
      </c>
      <c r="N10" s="26">
        <f t="shared" si="2"/>
        <v>9669</v>
      </c>
      <c r="O10" s="180">
        <f t="shared" si="3"/>
        <v>0.57420274363085699</v>
      </c>
      <c r="P10" s="26">
        <f t="shared" si="4"/>
        <v>16839</v>
      </c>
      <c r="Q10" s="181">
        <v>18087</v>
      </c>
      <c r="R10" s="168">
        <f t="shared" si="5"/>
        <v>-6.8999834135014093E-2</v>
      </c>
    </row>
    <row r="11" spans="1:22" ht="15.95" customHeight="1">
      <c r="A11" s="15" t="s">
        <v>23</v>
      </c>
      <c r="B11" s="26">
        <v>1440</v>
      </c>
      <c r="C11" s="26">
        <v>645</v>
      </c>
      <c r="D11" s="26">
        <v>502</v>
      </c>
      <c r="E11" s="26">
        <v>1309</v>
      </c>
      <c r="F11" s="26">
        <v>432</v>
      </c>
      <c r="G11" s="26">
        <f t="shared" si="0"/>
        <v>4328</v>
      </c>
      <c r="H11" s="180">
        <f t="shared" si="1"/>
        <v>0.42019417475728155</v>
      </c>
      <c r="I11" s="26">
        <v>1827</v>
      </c>
      <c r="J11" s="26">
        <v>910</v>
      </c>
      <c r="K11" s="26">
        <v>734</v>
      </c>
      <c r="L11" s="26">
        <v>1868</v>
      </c>
      <c r="M11" s="26">
        <v>633</v>
      </c>
      <c r="N11" s="26">
        <f t="shared" si="2"/>
        <v>5972</v>
      </c>
      <c r="O11" s="180">
        <f t="shared" si="3"/>
        <v>0.5798058252427184</v>
      </c>
      <c r="P11" s="181">
        <f t="shared" si="4"/>
        <v>10300</v>
      </c>
      <c r="Q11" s="181">
        <v>13485</v>
      </c>
      <c r="R11" s="168">
        <f t="shared" si="5"/>
        <v>-0.23618835743418609</v>
      </c>
    </row>
    <row r="12" spans="1:22" ht="15.95" customHeight="1" thickBot="1">
      <c r="A12" s="79" t="s">
        <v>24</v>
      </c>
      <c r="B12" s="19">
        <v>1507</v>
      </c>
      <c r="C12" s="19">
        <v>624</v>
      </c>
      <c r="D12" s="19">
        <v>209</v>
      </c>
      <c r="E12" s="19">
        <v>1305</v>
      </c>
      <c r="F12" s="19">
        <v>371</v>
      </c>
      <c r="G12" s="26">
        <f t="shared" si="0"/>
        <v>4016</v>
      </c>
      <c r="H12" s="180">
        <f t="shared" si="1"/>
        <v>0.3701723661166928</v>
      </c>
      <c r="I12" s="19">
        <v>2387</v>
      </c>
      <c r="J12" s="19">
        <v>1110</v>
      </c>
      <c r="K12" s="19">
        <v>316</v>
      </c>
      <c r="L12" s="19">
        <v>2366</v>
      </c>
      <c r="M12" s="19">
        <v>654</v>
      </c>
      <c r="N12" s="26">
        <f t="shared" si="2"/>
        <v>6833</v>
      </c>
      <c r="O12" s="180">
        <f t="shared" si="3"/>
        <v>0.6298276338833072</v>
      </c>
      <c r="P12" s="181">
        <f t="shared" si="4"/>
        <v>10849</v>
      </c>
      <c r="Q12" s="186">
        <v>12294</v>
      </c>
      <c r="R12" s="168">
        <f t="shared" si="5"/>
        <v>-0.11753700992353999</v>
      </c>
    </row>
    <row r="13" spans="1:22" ht="15.95" customHeight="1">
      <c r="A13" s="441" t="s">
        <v>44</v>
      </c>
      <c r="B13" s="281"/>
      <c r="C13" s="281"/>
      <c r="D13" s="281"/>
      <c r="E13" s="281"/>
      <c r="F13" s="281"/>
      <c r="G13" s="281"/>
      <c r="H13" s="282"/>
      <c r="I13" s="281"/>
      <c r="J13" s="281"/>
      <c r="K13" s="281"/>
      <c r="L13" s="281"/>
      <c r="M13" s="281"/>
      <c r="N13" s="281"/>
      <c r="O13" s="282"/>
      <c r="P13" s="281"/>
      <c r="Q13" s="354"/>
      <c r="R13" s="283"/>
    </row>
    <row r="14" spans="1:22" ht="19.5" customHeight="1" thickBot="1">
      <c r="A14" s="438"/>
      <c r="B14" s="284">
        <f>AVERAGE(B7:B12)</f>
        <v>1569.6666666666667</v>
      </c>
      <c r="C14" s="284">
        <f>AVERAGE(C7:C12)</f>
        <v>1028.1666666666667</v>
      </c>
      <c r="D14" s="284">
        <f t="shared" ref="D14:G14" si="6">AVERAGE(D7:D12)</f>
        <v>2177.6666666666665</v>
      </c>
      <c r="E14" s="284">
        <f t="shared" si="6"/>
        <v>1596.5</v>
      </c>
      <c r="F14" s="284">
        <f t="shared" si="6"/>
        <v>1246.8333333333333</v>
      </c>
      <c r="G14" s="284">
        <f t="shared" si="6"/>
        <v>7618.833333333333</v>
      </c>
      <c r="H14" s="285">
        <f t="shared" ref="H14:H20" si="7">G14/P14</f>
        <v>0.4203571559936734</v>
      </c>
      <c r="I14" s="284">
        <f>AVERAGE(I7:I12)</f>
        <v>1942.3333333333333</v>
      </c>
      <c r="J14" s="284">
        <f t="shared" ref="J14:N14" si="8">AVERAGE(J7:J12)</f>
        <v>1383</v>
      </c>
      <c r="K14" s="284">
        <f t="shared" si="8"/>
        <v>3198.8333333333335</v>
      </c>
      <c r="L14" s="284">
        <f t="shared" si="8"/>
        <v>2132.5</v>
      </c>
      <c r="M14" s="284">
        <f t="shared" si="8"/>
        <v>1849.1666666666667</v>
      </c>
      <c r="N14" s="284">
        <f t="shared" si="8"/>
        <v>10505.833333333334</v>
      </c>
      <c r="O14" s="285">
        <f t="shared" ref="O14:O20" si="9">N14/P14</f>
        <v>0.5796428440063266</v>
      </c>
      <c r="P14" s="284">
        <f>AVERAGE(P7:P12)</f>
        <v>18124.666666666668</v>
      </c>
      <c r="Q14" s="355">
        <v>20324.833333333332</v>
      </c>
      <c r="R14" s="286">
        <f t="shared" ref="R14:R20" si="10">(P14/Q14)-1</f>
        <v>-0.10825017015309668</v>
      </c>
    </row>
    <row r="15" spans="1:22" ht="15.95" customHeight="1">
      <c r="A15" s="78" t="s">
        <v>25</v>
      </c>
      <c r="B15" s="27">
        <v>1632</v>
      </c>
      <c r="C15" s="27">
        <v>682</v>
      </c>
      <c r="D15" s="27">
        <v>209</v>
      </c>
      <c r="E15" s="27">
        <v>1376</v>
      </c>
      <c r="F15" s="27">
        <v>373</v>
      </c>
      <c r="G15" s="27">
        <f t="shared" ref="G15:G20" si="11">SUM(B15:F15)</f>
        <v>4272</v>
      </c>
      <c r="H15" s="180">
        <f t="shared" si="7"/>
        <v>0.33147113594040967</v>
      </c>
      <c r="I15" s="27">
        <v>3186</v>
      </c>
      <c r="J15" s="27">
        <v>1325</v>
      </c>
      <c r="K15" s="27">
        <v>370</v>
      </c>
      <c r="L15" s="27">
        <v>2950</v>
      </c>
      <c r="M15" s="27">
        <v>785</v>
      </c>
      <c r="N15" s="419">
        <f t="shared" ref="N15:N20" si="12">SUM(I15:M15)</f>
        <v>8616</v>
      </c>
      <c r="O15" s="421">
        <f t="shared" si="9"/>
        <v>0.66852886405959033</v>
      </c>
      <c r="P15" s="422">
        <f t="shared" ref="P15:P20" si="13">G15+N15</f>
        <v>12888</v>
      </c>
      <c r="Q15" s="224">
        <v>13960</v>
      </c>
      <c r="R15" s="185">
        <f t="shared" si="10"/>
        <v>-7.6790830945558719E-2</v>
      </c>
    </row>
    <row r="16" spans="1:22" ht="15.95" customHeight="1">
      <c r="A16" s="15" t="s">
        <v>7</v>
      </c>
      <c r="B16" s="26">
        <v>1645</v>
      </c>
      <c r="C16" s="26">
        <v>665</v>
      </c>
      <c r="D16" s="26">
        <v>191</v>
      </c>
      <c r="E16" s="26">
        <v>1337</v>
      </c>
      <c r="F16" s="26">
        <v>355</v>
      </c>
      <c r="G16" s="27">
        <f t="shared" si="11"/>
        <v>4193</v>
      </c>
      <c r="H16" s="180">
        <f t="shared" si="7"/>
        <v>0.32368380423035353</v>
      </c>
      <c r="I16" s="26">
        <v>3268</v>
      </c>
      <c r="J16" s="26">
        <v>1341</v>
      </c>
      <c r="K16" s="26">
        <v>385</v>
      </c>
      <c r="L16" s="26">
        <v>2988</v>
      </c>
      <c r="M16" s="26">
        <v>779</v>
      </c>
      <c r="N16" s="419">
        <f t="shared" si="12"/>
        <v>8761</v>
      </c>
      <c r="O16" s="423">
        <f t="shared" si="9"/>
        <v>0.67631619576964641</v>
      </c>
      <c r="P16" s="349">
        <f t="shared" si="13"/>
        <v>12954</v>
      </c>
      <c r="Q16" s="181">
        <v>13935</v>
      </c>
      <c r="R16" s="185">
        <f t="shared" si="10"/>
        <v>-7.0398277717976354E-2</v>
      </c>
    </row>
    <row r="17" spans="1:24" ht="15.95" customHeight="1">
      <c r="A17" s="15" t="s">
        <v>26</v>
      </c>
      <c r="B17" s="26">
        <v>1698</v>
      </c>
      <c r="C17" s="26">
        <v>664</v>
      </c>
      <c r="D17" s="26">
        <v>209</v>
      </c>
      <c r="E17" s="26">
        <v>1420</v>
      </c>
      <c r="F17" s="26">
        <v>400</v>
      </c>
      <c r="G17" s="27">
        <f t="shared" si="11"/>
        <v>4391</v>
      </c>
      <c r="H17" s="180">
        <f t="shared" si="7"/>
        <v>0.34054599038312394</v>
      </c>
      <c r="I17" s="26">
        <v>3112</v>
      </c>
      <c r="J17" s="26">
        <v>1326</v>
      </c>
      <c r="K17" s="26">
        <v>322</v>
      </c>
      <c r="L17" s="26">
        <v>2971</v>
      </c>
      <c r="M17" s="26">
        <v>772</v>
      </c>
      <c r="N17" s="419">
        <f t="shared" si="12"/>
        <v>8503</v>
      </c>
      <c r="O17" s="423">
        <f t="shared" si="9"/>
        <v>0.65945400961687606</v>
      </c>
      <c r="P17" s="349">
        <f t="shared" si="13"/>
        <v>12894</v>
      </c>
      <c r="Q17" s="181">
        <v>12040</v>
      </c>
      <c r="R17" s="185">
        <f t="shared" si="10"/>
        <v>7.0930232558139572E-2</v>
      </c>
      <c r="U17" s="325"/>
    </row>
    <row r="18" spans="1:24" ht="15.95" customHeight="1">
      <c r="A18" s="15" t="s">
        <v>27</v>
      </c>
      <c r="B18" s="26">
        <v>1570</v>
      </c>
      <c r="C18" s="26">
        <v>641</v>
      </c>
      <c r="D18" s="26">
        <v>312</v>
      </c>
      <c r="E18" s="26">
        <v>1410</v>
      </c>
      <c r="F18" s="26">
        <v>427</v>
      </c>
      <c r="G18" s="27">
        <f t="shared" si="11"/>
        <v>4360</v>
      </c>
      <c r="H18" s="180">
        <f t="shared" si="7"/>
        <v>0.41233213542651787</v>
      </c>
      <c r="I18" s="26">
        <v>2142</v>
      </c>
      <c r="J18" s="26">
        <v>960</v>
      </c>
      <c r="K18" s="26">
        <v>401</v>
      </c>
      <c r="L18" s="26">
        <v>2088</v>
      </c>
      <c r="M18" s="26">
        <v>623</v>
      </c>
      <c r="N18" s="419">
        <f t="shared" si="12"/>
        <v>6214</v>
      </c>
      <c r="O18" s="423">
        <f t="shared" si="9"/>
        <v>0.58766786457348208</v>
      </c>
      <c r="P18" s="349">
        <f t="shared" si="13"/>
        <v>10574</v>
      </c>
      <c r="Q18" s="181">
        <v>10316</v>
      </c>
      <c r="R18" s="185">
        <f t="shared" si="10"/>
        <v>2.5009693679720835E-2</v>
      </c>
    </row>
    <row r="19" spans="1:24" ht="15.95" customHeight="1">
      <c r="A19" s="15" t="s">
        <v>28</v>
      </c>
      <c r="B19" s="26">
        <v>1656</v>
      </c>
      <c r="C19" s="26">
        <v>1152</v>
      </c>
      <c r="D19" s="26">
        <v>3009</v>
      </c>
      <c r="E19" s="26">
        <v>1537</v>
      </c>
      <c r="F19" s="26">
        <v>1266</v>
      </c>
      <c r="G19" s="26">
        <f t="shared" si="11"/>
        <v>8620</v>
      </c>
      <c r="H19" s="180">
        <f t="shared" si="7"/>
        <v>0.42567901234567901</v>
      </c>
      <c r="I19" s="26">
        <v>1964</v>
      </c>
      <c r="J19" s="26">
        <v>1506</v>
      </c>
      <c r="K19" s="26">
        <v>4176</v>
      </c>
      <c r="L19" s="26">
        <v>2058</v>
      </c>
      <c r="M19" s="26">
        <v>1926</v>
      </c>
      <c r="N19" s="26">
        <f t="shared" si="12"/>
        <v>11630</v>
      </c>
      <c r="O19" s="180">
        <f t="shared" si="9"/>
        <v>0.57432098765432094</v>
      </c>
      <c r="P19" s="26">
        <f t="shared" si="13"/>
        <v>20250</v>
      </c>
      <c r="Q19" s="181">
        <v>19067</v>
      </c>
      <c r="R19" s="168">
        <f t="shared" si="10"/>
        <v>6.2044369853673897E-2</v>
      </c>
    </row>
    <row r="20" spans="1:24" ht="15.95" customHeight="1" thickBot="1">
      <c r="A20" s="79" t="s">
        <v>29</v>
      </c>
      <c r="B20" s="19">
        <v>1876</v>
      </c>
      <c r="C20" s="19">
        <v>1401</v>
      </c>
      <c r="D20" s="19">
        <v>3615</v>
      </c>
      <c r="E20" s="19">
        <v>1747</v>
      </c>
      <c r="F20" s="19">
        <v>2103</v>
      </c>
      <c r="G20" s="26">
        <f t="shared" si="11"/>
        <v>10742</v>
      </c>
      <c r="H20" s="180">
        <f t="shared" si="7"/>
        <v>0.43659567549991873</v>
      </c>
      <c r="I20" s="26">
        <v>2043</v>
      </c>
      <c r="J20" s="19">
        <v>1813</v>
      </c>
      <c r="K20" s="19">
        <v>5050</v>
      </c>
      <c r="L20" s="19">
        <v>2122</v>
      </c>
      <c r="M20" s="19">
        <v>2834</v>
      </c>
      <c r="N20" s="19">
        <f t="shared" si="12"/>
        <v>13862</v>
      </c>
      <c r="O20" s="182">
        <f t="shared" si="9"/>
        <v>0.56340432450008127</v>
      </c>
      <c r="P20" s="19">
        <f t="shared" si="13"/>
        <v>24604</v>
      </c>
      <c r="Q20" s="186">
        <v>23666</v>
      </c>
      <c r="R20" s="183">
        <f t="shared" si="10"/>
        <v>3.963491929350127E-2</v>
      </c>
    </row>
    <row r="21" spans="1:24" ht="15.95" customHeight="1">
      <c r="A21" s="441" t="s">
        <v>42</v>
      </c>
      <c r="B21" s="291"/>
      <c r="C21" s="291"/>
      <c r="D21" s="291"/>
      <c r="E21" s="291"/>
      <c r="F21" s="291"/>
      <c r="G21" s="291"/>
      <c r="H21" s="282"/>
      <c r="I21" s="291"/>
      <c r="J21" s="291"/>
      <c r="K21" s="291"/>
      <c r="L21" s="291"/>
      <c r="M21" s="291"/>
      <c r="N21" s="291"/>
      <c r="O21" s="282"/>
      <c r="P21" s="291"/>
      <c r="Q21" s="356"/>
      <c r="R21" s="283"/>
    </row>
    <row r="22" spans="1:24" ht="21.75" customHeight="1" thickBot="1">
      <c r="A22" s="438"/>
      <c r="B22" s="284">
        <f>AVERAGE(B15:B20)</f>
        <v>1679.5</v>
      </c>
      <c r="C22" s="284">
        <f t="shared" ref="C22:G22" si="14">AVERAGE(C15:C20)</f>
        <v>867.5</v>
      </c>
      <c r="D22" s="284">
        <f t="shared" si="14"/>
        <v>1257.5</v>
      </c>
      <c r="E22" s="284">
        <f t="shared" si="14"/>
        <v>1471.1666666666667</v>
      </c>
      <c r="F22" s="284">
        <f t="shared" si="14"/>
        <v>820.66666666666663</v>
      </c>
      <c r="G22" s="284">
        <f t="shared" si="14"/>
        <v>6096.333333333333</v>
      </c>
      <c r="H22" s="285">
        <f>G22/P22</f>
        <v>0.38844993840533537</v>
      </c>
      <c r="I22" s="284">
        <f>AVERAGE(I15:I20)</f>
        <v>2619.1666666666665</v>
      </c>
      <c r="J22" s="284">
        <f t="shared" ref="J22:N22" si="15">AVERAGE(J15:J20)</f>
        <v>1378.5</v>
      </c>
      <c r="K22" s="284">
        <f t="shared" si="15"/>
        <v>1784</v>
      </c>
      <c r="L22" s="284">
        <f t="shared" si="15"/>
        <v>2529.5</v>
      </c>
      <c r="M22" s="284">
        <f t="shared" si="15"/>
        <v>1286.5</v>
      </c>
      <c r="N22" s="284">
        <f t="shared" si="15"/>
        <v>9597.6666666666661</v>
      </c>
      <c r="O22" s="285">
        <f>N22/P22</f>
        <v>0.61155006159466463</v>
      </c>
      <c r="P22" s="284">
        <f>AVERAGE(P15:P20)</f>
        <v>15694</v>
      </c>
      <c r="Q22" s="355">
        <v>15497.333333333334</v>
      </c>
      <c r="R22" s="286">
        <f>(P22/Q22)-1</f>
        <v>1.269035532994911E-2</v>
      </c>
    </row>
    <row r="23" spans="1:24" ht="15.95" customHeight="1">
      <c r="A23" s="437" t="s">
        <v>47</v>
      </c>
      <c r="B23" s="287"/>
      <c r="C23" s="287"/>
      <c r="D23" s="287"/>
      <c r="E23" s="287"/>
      <c r="F23" s="287"/>
      <c r="G23" s="287"/>
      <c r="H23" s="287"/>
      <c r="I23" s="288"/>
      <c r="J23" s="288"/>
      <c r="K23" s="288"/>
      <c r="L23" s="288"/>
      <c r="M23" s="288"/>
      <c r="N23" s="288"/>
      <c r="O23" s="289"/>
      <c r="P23" s="288"/>
      <c r="Q23" s="357"/>
      <c r="R23" s="290"/>
    </row>
    <row r="24" spans="1:24" ht="18.75" customHeight="1" thickBot="1">
      <c r="A24" s="438"/>
      <c r="B24" s="284">
        <f>AVERAGE(B14,B22)</f>
        <v>1624.5833333333335</v>
      </c>
      <c r="C24" s="284">
        <f t="shared" ref="C24:G24" si="16">AVERAGE(C14,C22)</f>
        <v>947.83333333333337</v>
      </c>
      <c r="D24" s="284">
        <f t="shared" si="16"/>
        <v>1717.5833333333333</v>
      </c>
      <c r="E24" s="284">
        <f t="shared" si="16"/>
        <v>1533.8333333333335</v>
      </c>
      <c r="F24" s="284">
        <f t="shared" si="16"/>
        <v>1033.75</v>
      </c>
      <c r="G24" s="284">
        <f t="shared" si="16"/>
        <v>6857.583333333333</v>
      </c>
      <c r="H24" s="285">
        <f>AVERAGE(H14,H22)</f>
        <v>0.40440354719950439</v>
      </c>
      <c r="I24" s="284">
        <f>AVERAGE(I14,I22)</f>
        <v>2280.75</v>
      </c>
      <c r="J24" s="284">
        <f t="shared" ref="J24:N24" si="17">AVERAGE(J14,J22)</f>
        <v>1380.75</v>
      </c>
      <c r="K24" s="284">
        <f t="shared" si="17"/>
        <v>2491.416666666667</v>
      </c>
      <c r="L24" s="284">
        <f t="shared" si="17"/>
        <v>2331</v>
      </c>
      <c r="M24" s="284">
        <f t="shared" si="17"/>
        <v>1567.8333333333335</v>
      </c>
      <c r="N24" s="284">
        <f t="shared" si="17"/>
        <v>10051.75</v>
      </c>
      <c r="O24" s="285">
        <f>AVERAGE(O14,O22)</f>
        <v>0.59559645280049556</v>
      </c>
      <c r="P24" s="284">
        <f>AVERAGE(P14,P22)</f>
        <v>16909.333333333336</v>
      </c>
      <c r="Q24" s="355">
        <v>17911.083333333332</v>
      </c>
      <c r="R24" s="286">
        <f>(P24/Q24)-1</f>
        <v>-5.5929056961936729E-2</v>
      </c>
      <c r="X24" t="s">
        <v>151</v>
      </c>
    </row>
    <row r="25" spans="1:2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58"/>
      <c r="R25" s="6"/>
    </row>
    <row r="26" spans="1:24">
      <c r="A26" s="22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25"/>
      <c r="O26" s="1"/>
      <c r="P26" s="1"/>
      <c r="Q26" s="352"/>
      <c r="R26" s="1"/>
    </row>
    <row r="27" spans="1:24">
      <c r="A27" s="1"/>
      <c r="B27" s="5"/>
      <c r="C27" s="3"/>
      <c r="D27" s="2"/>
      <c r="E27" s="2"/>
      <c r="F27" s="1"/>
      <c r="G27" s="1"/>
      <c r="H27" s="429">
        <f>AVERAGE(H14,H22)</f>
        <v>0.40440354719950439</v>
      </c>
      <c r="I27" s="1"/>
      <c r="J27" s="1"/>
      <c r="K27" s="1"/>
      <c r="L27" s="4"/>
      <c r="M27" s="4"/>
      <c r="N27" s="25" t="s">
        <v>31</v>
      </c>
      <c r="O27" s="35"/>
      <c r="P27" s="35"/>
      <c r="Q27" s="359"/>
      <c r="R27" s="25"/>
    </row>
    <row r="28" spans="1:24">
      <c r="A28" s="418">
        <v>43521</v>
      </c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25" t="s">
        <v>11</v>
      </c>
      <c r="O28" s="35"/>
      <c r="P28" s="35"/>
      <c r="Q28" s="359"/>
      <c r="R28" s="25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52"/>
      <c r="R29" s="1"/>
    </row>
    <row r="30" spans="1:24">
      <c r="N30" s="1"/>
      <c r="O30" s="1"/>
      <c r="P30" s="1"/>
      <c r="Q30" s="352"/>
      <c r="R30" s="1"/>
    </row>
  </sheetData>
  <mergeCells count="9">
    <mergeCell ref="A23:A24"/>
    <mergeCell ref="B5:H5"/>
    <mergeCell ref="I5:O5"/>
    <mergeCell ref="P1:R1"/>
    <mergeCell ref="A13:A14"/>
    <mergeCell ref="A21:A22"/>
    <mergeCell ref="R5:R6"/>
    <mergeCell ref="A5:A6"/>
    <mergeCell ref="P5:Q5"/>
  </mergeCells>
  <phoneticPr fontId="0" type="noConversion"/>
  <pageMargins left="0" right="0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topLeftCell="A16" workbookViewId="0">
      <selection activeCell="L27" sqref="L27"/>
    </sheetView>
  </sheetViews>
  <sheetFormatPr defaultRowHeight="12.75"/>
  <cols>
    <col min="1" max="1" width="4.85546875" customWidth="1"/>
    <col min="2" max="2" width="59.140625" customWidth="1"/>
    <col min="3" max="3" width="12.85546875" customWidth="1"/>
    <col min="4" max="4" width="12.7109375" customWidth="1"/>
    <col min="5" max="5" width="12.42578125" customWidth="1"/>
    <col min="6" max="6" width="11.42578125" customWidth="1"/>
    <col min="7" max="7" width="11.28515625" bestFit="1" customWidth="1"/>
    <col min="14" max="14" width="10.5703125" bestFit="1" customWidth="1"/>
  </cols>
  <sheetData>
    <row r="1" spans="1:14">
      <c r="A1" s="122" t="s">
        <v>107</v>
      </c>
    </row>
    <row r="2" spans="1:14" ht="6.75" customHeight="1">
      <c r="A2" s="32"/>
    </row>
    <row r="3" spans="1:14" ht="27.75" customHeight="1">
      <c r="A3" s="503" t="s">
        <v>126</v>
      </c>
      <c r="B3" s="503"/>
      <c r="C3" s="503"/>
      <c r="D3" s="503"/>
      <c r="E3" s="503"/>
      <c r="F3" s="503"/>
      <c r="G3" s="503"/>
      <c r="H3" s="503"/>
    </row>
    <row r="4" spans="1:14" ht="12" customHeight="1" thickBot="1">
      <c r="A4" s="502"/>
      <c r="B4" s="502"/>
      <c r="C4" s="502"/>
      <c r="D4" s="502"/>
    </row>
    <row r="5" spans="1:14">
      <c r="A5" s="142"/>
      <c r="B5" s="133"/>
      <c r="C5" s="516" t="s">
        <v>60</v>
      </c>
      <c r="D5" s="505"/>
      <c r="E5" s="505"/>
      <c r="F5" s="505"/>
      <c r="G5" s="505"/>
      <c r="H5" s="506"/>
    </row>
    <row r="6" spans="1:14">
      <c r="A6" s="143" t="s">
        <v>61</v>
      </c>
      <c r="B6" s="134" t="s">
        <v>62</v>
      </c>
      <c r="C6" s="517" t="s">
        <v>63</v>
      </c>
      <c r="D6" s="508"/>
      <c r="E6" s="509" t="s">
        <v>64</v>
      </c>
      <c r="F6" s="509"/>
      <c r="G6" s="504" t="s">
        <v>6</v>
      </c>
      <c r="H6" s="514" t="s">
        <v>113</v>
      </c>
    </row>
    <row r="7" spans="1:14" ht="24.75" customHeight="1" thickBot="1">
      <c r="A7" s="135"/>
      <c r="B7" s="135"/>
      <c r="C7" s="150" t="s">
        <v>65</v>
      </c>
      <c r="D7" s="105" t="s">
        <v>66</v>
      </c>
      <c r="E7" s="105" t="s">
        <v>66</v>
      </c>
      <c r="F7" s="105" t="s">
        <v>67</v>
      </c>
      <c r="G7" s="518"/>
      <c r="H7" s="515"/>
    </row>
    <row r="8" spans="1:14" ht="15" customHeight="1">
      <c r="A8" s="144">
        <v>1</v>
      </c>
      <c r="B8" s="136" t="s">
        <v>68</v>
      </c>
      <c r="C8" s="127">
        <v>0</v>
      </c>
      <c r="D8" s="82">
        <v>0</v>
      </c>
      <c r="E8" s="92">
        <v>0</v>
      </c>
      <c r="F8" s="92">
        <v>58</v>
      </c>
      <c r="G8" s="65">
        <f>SUM(C8+D8+E8+F8)</f>
        <v>58</v>
      </c>
      <c r="H8" s="169">
        <f>G8/G31</f>
        <v>3.44438505849516E-3</v>
      </c>
    </row>
    <row r="9" spans="1:14" ht="15" customHeight="1">
      <c r="A9" s="145">
        <v>2</v>
      </c>
      <c r="B9" s="137" t="s">
        <v>69</v>
      </c>
      <c r="C9" s="128">
        <v>0</v>
      </c>
      <c r="D9" s="63">
        <v>0</v>
      </c>
      <c r="E9" s="64">
        <v>0</v>
      </c>
      <c r="F9" s="64">
        <v>18</v>
      </c>
      <c r="G9" s="65">
        <f t="shared" ref="G9:G30" si="0">SUM(C9+D9+E9+F9)</f>
        <v>18</v>
      </c>
      <c r="H9" s="170">
        <f>G9/G31</f>
        <v>1.0689470871191875E-3</v>
      </c>
    </row>
    <row r="10" spans="1:14" ht="15" customHeight="1">
      <c r="A10" s="145">
        <v>3</v>
      </c>
      <c r="B10" s="137" t="s">
        <v>70</v>
      </c>
      <c r="C10" s="128">
        <v>14</v>
      </c>
      <c r="D10" s="63">
        <v>0</v>
      </c>
      <c r="E10" s="64">
        <v>1</v>
      </c>
      <c r="F10" s="64">
        <v>801</v>
      </c>
      <c r="G10" s="65">
        <f>SUM(C10+D10+E10+F10)</f>
        <v>816</v>
      </c>
      <c r="H10" s="170">
        <f>G10/G31</f>
        <v>4.8458934616069836E-2</v>
      </c>
    </row>
    <row r="11" spans="1:14" ht="15" customHeight="1">
      <c r="A11" s="145">
        <v>4</v>
      </c>
      <c r="B11" s="137" t="s">
        <v>71</v>
      </c>
      <c r="C11" s="129">
        <v>0</v>
      </c>
      <c r="D11" s="66">
        <v>0</v>
      </c>
      <c r="E11" s="67">
        <v>0</v>
      </c>
      <c r="F11" s="59">
        <v>8</v>
      </c>
      <c r="G11" s="65">
        <f t="shared" si="0"/>
        <v>8</v>
      </c>
      <c r="H11" s="170">
        <f>G11/G31</f>
        <v>4.750875942751945E-4</v>
      </c>
    </row>
    <row r="12" spans="1:14" ht="26.25" customHeight="1">
      <c r="A12" s="145">
        <v>5</v>
      </c>
      <c r="B12" s="137" t="s">
        <v>72</v>
      </c>
      <c r="C12" s="128">
        <v>0</v>
      </c>
      <c r="D12" s="63">
        <v>0</v>
      </c>
      <c r="E12" s="64">
        <v>0</v>
      </c>
      <c r="F12" s="64">
        <v>5</v>
      </c>
      <c r="G12" s="65">
        <f t="shared" si="0"/>
        <v>5</v>
      </c>
      <c r="H12" s="170">
        <f>G12/G31</f>
        <v>2.9692974642199656E-4</v>
      </c>
    </row>
    <row r="13" spans="1:14" ht="15" customHeight="1">
      <c r="A13" s="145">
        <v>6</v>
      </c>
      <c r="B13" s="137" t="s">
        <v>73</v>
      </c>
      <c r="C13" s="151">
        <v>0</v>
      </c>
      <c r="D13" s="82">
        <v>0</v>
      </c>
      <c r="E13" s="60">
        <v>8</v>
      </c>
      <c r="F13" s="60">
        <v>597</v>
      </c>
      <c r="G13" s="65">
        <f t="shared" si="0"/>
        <v>605</v>
      </c>
      <c r="H13" s="170">
        <f>G13/G31</f>
        <v>3.5928499317061581E-2</v>
      </c>
    </row>
    <row r="14" spans="1:14" ht="24.75" customHeight="1">
      <c r="A14" s="145">
        <v>7</v>
      </c>
      <c r="B14" s="137" t="s">
        <v>74</v>
      </c>
      <c r="C14" s="129">
        <v>0</v>
      </c>
      <c r="D14" s="63">
        <v>158</v>
      </c>
      <c r="E14" s="59">
        <v>35</v>
      </c>
      <c r="F14" s="59">
        <f>2599+1</f>
        <v>2600</v>
      </c>
      <c r="G14" s="65">
        <f t="shared" si="0"/>
        <v>2793</v>
      </c>
      <c r="H14" s="170">
        <f>G14/G31</f>
        <v>0.16586495635132728</v>
      </c>
    </row>
    <row r="15" spans="1:14" ht="15" customHeight="1">
      <c r="A15" s="145">
        <v>8</v>
      </c>
      <c r="B15" s="137" t="s">
        <v>75</v>
      </c>
      <c r="C15" s="129">
        <v>0</v>
      </c>
      <c r="D15" s="63">
        <v>21</v>
      </c>
      <c r="E15" s="58">
        <v>8</v>
      </c>
      <c r="F15" s="59">
        <v>717</v>
      </c>
      <c r="G15" s="65">
        <f t="shared" si="0"/>
        <v>746</v>
      </c>
      <c r="H15" s="170">
        <f>G15/G31</f>
        <v>4.4301918166161885E-2</v>
      </c>
    </row>
    <row r="16" spans="1:14" ht="25.5" customHeight="1">
      <c r="A16" s="145">
        <v>9</v>
      </c>
      <c r="B16" s="137" t="s">
        <v>76</v>
      </c>
      <c r="C16" s="128">
        <v>0</v>
      </c>
      <c r="D16" s="63">
        <v>1227</v>
      </c>
      <c r="E16" s="64">
        <v>3169</v>
      </c>
      <c r="F16" s="64">
        <f>2293+4</f>
        <v>2297</v>
      </c>
      <c r="G16" s="65">
        <f t="shared" si="0"/>
        <v>6693</v>
      </c>
      <c r="H16" s="170">
        <f>G16/G31</f>
        <v>0.39747015856048457</v>
      </c>
      <c r="N16" s="177"/>
    </row>
    <row r="17" spans="1:8" ht="15" customHeight="1">
      <c r="A17" s="145">
        <v>10</v>
      </c>
      <c r="B17" s="137" t="s">
        <v>77</v>
      </c>
      <c r="C17" s="128">
        <v>0</v>
      </c>
      <c r="D17" s="63">
        <v>0</v>
      </c>
      <c r="E17" s="64">
        <v>1</v>
      </c>
      <c r="F17" s="64">
        <v>288</v>
      </c>
      <c r="G17" s="65">
        <f t="shared" si="0"/>
        <v>289</v>
      </c>
      <c r="H17" s="170">
        <f>G17/G31</f>
        <v>1.71625393431914E-2</v>
      </c>
    </row>
    <row r="18" spans="1:8" ht="15" customHeight="1">
      <c r="A18" s="145">
        <v>11</v>
      </c>
      <c r="B18" s="137" t="s">
        <v>78</v>
      </c>
      <c r="C18" s="128">
        <v>0</v>
      </c>
      <c r="D18" s="63">
        <v>0</v>
      </c>
      <c r="E18" s="64">
        <v>0</v>
      </c>
      <c r="F18" s="59">
        <v>507</v>
      </c>
      <c r="G18" s="65">
        <f t="shared" si="0"/>
        <v>507</v>
      </c>
      <c r="H18" s="170">
        <f>G18/G31</f>
        <v>3.0108676287190449E-2</v>
      </c>
    </row>
    <row r="19" spans="1:8" ht="15" customHeight="1">
      <c r="A19" s="145">
        <v>12</v>
      </c>
      <c r="B19" s="137" t="s">
        <v>79</v>
      </c>
      <c r="C19" s="128">
        <v>0</v>
      </c>
      <c r="D19" s="63">
        <v>0</v>
      </c>
      <c r="E19" s="64">
        <v>4</v>
      </c>
      <c r="F19" s="64">
        <v>125</v>
      </c>
      <c r="G19" s="65">
        <f t="shared" si="0"/>
        <v>129</v>
      </c>
      <c r="H19" s="170">
        <f>G19/G31</f>
        <v>7.6607874576875108E-3</v>
      </c>
    </row>
    <row r="20" spans="1:8" ht="15" customHeight="1">
      <c r="A20" s="145">
        <v>13</v>
      </c>
      <c r="B20" s="137" t="s">
        <v>80</v>
      </c>
      <c r="C20" s="128">
        <v>0</v>
      </c>
      <c r="D20" s="63">
        <v>0</v>
      </c>
      <c r="E20" s="64">
        <v>0</v>
      </c>
      <c r="F20" s="64">
        <f>706+1</f>
        <v>707</v>
      </c>
      <c r="G20" s="65">
        <f t="shared" si="0"/>
        <v>707</v>
      </c>
      <c r="H20" s="170">
        <f>G20/G31</f>
        <v>4.1985866144070315E-2</v>
      </c>
    </row>
    <row r="21" spans="1:8" ht="15" customHeight="1">
      <c r="A21" s="145">
        <v>14</v>
      </c>
      <c r="B21" s="137" t="s">
        <v>81</v>
      </c>
      <c r="C21" s="128">
        <v>0</v>
      </c>
      <c r="D21" s="63">
        <v>47</v>
      </c>
      <c r="E21" s="64">
        <v>14</v>
      </c>
      <c r="F21" s="64">
        <v>546</v>
      </c>
      <c r="G21" s="65">
        <f t="shared" si="0"/>
        <v>607</v>
      </c>
      <c r="H21" s="170">
        <f>G21/G31</f>
        <v>3.604727121563038E-2</v>
      </c>
    </row>
    <row r="22" spans="1:8" ht="15" customHeight="1">
      <c r="A22" s="146">
        <v>15</v>
      </c>
      <c r="B22" s="137" t="s">
        <v>82</v>
      </c>
      <c r="C22" s="128">
        <v>0</v>
      </c>
      <c r="D22" s="63">
        <v>10</v>
      </c>
      <c r="E22" s="64">
        <v>2</v>
      </c>
      <c r="F22" s="64">
        <v>667</v>
      </c>
      <c r="G22" s="65">
        <f t="shared" si="0"/>
        <v>679</v>
      </c>
      <c r="H22" s="170">
        <f>G22/G31</f>
        <v>4.032305956410713E-2</v>
      </c>
    </row>
    <row r="23" spans="1:8" ht="15" customHeight="1">
      <c r="A23" s="145">
        <v>16</v>
      </c>
      <c r="B23" s="137" t="s">
        <v>83</v>
      </c>
      <c r="C23" s="128">
        <v>0</v>
      </c>
      <c r="D23" s="63">
        <v>11</v>
      </c>
      <c r="E23" s="64">
        <v>1</v>
      </c>
      <c r="F23" s="64">
        <v>264</v>
      </c>
      <c r="G23" s="65">
        <f t="shared" si="0"/>
        <v>276</v>
      </c>
      <c r="H23" s="170">
        <f>G23/G31</f>
        <v>1.6390522002494211E-2</v>
      </c>
    </row>
    <row r="24" spans="1:8" ht="26.25" customHeight="1">
      <c r="A24" s="146">
        <v>17</v>
      </c>
      <c r="B24" s="137" t="s">
        <v>84</v>
      </c>
      <c r="C24" s="128">
        <v>0</v>
      </c>
      <c r="D24" s="63">
        <v>0</v>
      </c>
      <c r="E24" s="64">
        <v>1</v>
      </c>
      <c r="F24" s="64">
        <v>250</v>
      </c>
      <c r="G24" s="65">
        <f t="shared" si="0"/>
        <v>251</v>
      </c>
      <c r="H24" s="170">
        <f>G24/G31</f>
        <v>1.4905873270384227E-2</v>
      </c>
    </row>
    <row r="25" spans="1:8" ht="15" customHeight="1">
      <c r="A25" s="145">
        <v>18</v>
      </c>
      <c r="B25" s="138" t="s">
        <v>85</v>
      </c>
      <c r="C25" s="128">
        <v>0</v>
      </c>
      <c r="D25" s="63">
        <v>41</v>
      </c>
      <c r="E25" s="64">
        <v>9</v>
      </c>
      <c r="F25" s="64">
        <v>323</v>
      </c>
      <c r="G25" s="65">
        <f t="shared" si="0"/>
        <v>373</v>
      </c>
      <c r="H25" s="170">
        <f>G25/G31</f>
        <v>2.2150959083080943E-2</v>
      </c>
    </row>
    <row r="26" spans="1:8" ht="15" customHeight="1">
      <c r="A26" s="145">
        <v>19</v>
      </c>
      <c r="B26" s="138" t="s">
        <v>86</v>
      </c>
      <c r="C26" s="128">
        <v>0</v>
      </c>
      <c r="D26" s="63">
        <v>7</v>
      </c>
      <c r="E26" s="64">
        <v>15</v>
      </c>
      <c r="F26" s="64">
        <f>364+2</f>
        <v>366</v>
      </c>
      <c r="G26" s="65">
        <f t="shared" si="0"/>
        <v>388</v>
      </c>
      <c r="H26" s="170">
        <f>G26/G31</f>
        <v>2.3041748322346931E-2</v>
      </c>
    </row>
    <row r="27" spans="1:8" ht="37.5" customHeight="1">
      <c r="A27" s="146">
        <v>20</v>
      </c>
      <c r="B27" s="138" t="s">
        <v>87</v>
      </c>
      <c r="C27" s="128">
        <v>0</v>
      </c>
      <c r="D27" s="63">
        <v>0</v>
      </c>
      <c r="E27" s="64">
        <v>0</v>
      </c>
      <c r="F27" s="64">
        <v>23</v>
      </c>
      <c r="G27" s="65">
        <f t="shared" si="0"/>
        <v>23</v>
      </c>
      <c r="H27" s="170">
        <f>G27/G31</f>
        <v>1.3658768335411842E-3</v>
      </c>
    </row>
    <row r="28" spans="1:8" ht="15" customHeight="1">
      <c r="A28" s="145">
        <v>21</v>
      </c>
      <c r="B28" s="138" t="s">
        <v>88</v>
      </c>
      <c r="C28" s="128">
        <v>0</v>
      </c>
      <c r="D28" s="63">
        <v>0</v>
      </c>
      <c r="E28" s="64">
        <v>0</v>
      </c>
      <c r="F28" s="64">
        <v>16</v>
      </c>
      <c r="G28" s="65">
        <f t="shared" si="0"/>
        <v>16</v>
      </c>
      <c r="H28" s="170">
        <f>G28/G31</f>
        <v>9.50175188550389E-4</v>
      </c>
    </row>
    <row r="29" spans="1:8" ht="15" customHeight="1">
      <c r="A29" s="145">
        <v>22</v>
      </c>
      <c r="B29" s="139" t="s">
        <v>89</v>
      </c>
      <c r="C29" s="128">
        <v>0</v>
      </c>
      <c r="D29" s="63">
        <v>3</v>
      </c>
      <c r="E29" s="64">
        <v>15</v>
      </c>
      <c r="F29" s="64">
        <f>818+16</f>
        <v>834</v>
      </c>
      <c r="G29" s="65">
        <f t="shared" si="0"/>
        <v>852</v>
      </c>
      <c r="H29" s="170">
        <f>G29/G31</f>
        <v>5.0596828790308211E-2</v>
      </c>
    </row>
    <row r="30" spans="1:8" ht="15" customHeight="1" thickBot="1">
      <c r="A30" s="292">
        <v>23</v>
      </c>
      <c r="B30" s="140" t="s">
        <v>90</v>
      </c>
      <c r="C30" s="130">
        <v>0</v>
      </c>
      <c r="D30" s="68">
        <v>0</v>
      </c>
      <c r="E30" s="69">
        <v>0</v>
      </c>
      <c r="F30" s="64">
        <v>0</v>
      </c>
      <c r="G30" s="65">
        <f t="shared" si="0"/>
        <v>0</v>
      </c>
      <c r="H30" s="172">
        <f>G30/G31</f>
        <v>0</v>
      </c>
    </row>
    <row r="31" spans="1:8" ht="15" customHeight="1" thickBot="1">
      <c r="A31" s="293" t="s">
        <v>6</v>
      </c>
      <c r="B31" s="294"/>
      <c r="C31" s="131">
        <f>SUM(C8:C30)</f>
        <v>14</v>
      </c>
      <c r="D31" s="70">
        <f>SUM(D8:D30)</f>
        <v>1525</v>
      </c>
      <c r="E31" s="70">
        <f t="shared" ref="E31:H31" si="1">SUM(E8:E30)</f>
        <v>3283</v>
      </c>
      <c r="F31" s="70">
        <f t="shared" si="1"/>
        <v>12017</v>
      </c>
      <c r="G31" s="71">
        <f>SUM(G8:G30)</f>
        <v>16839</v>
      </c>
      <c r="H31" s="156">
        <f t="shared" si="1"/>
        <v>1</v>
      </c>
    </row>
    <row r="32" spans="1:8">
      <c r="B32" s="39"/>
      <c r="F32" s="87"/>
      <c r="G32" s="88"/>
      <c r="H32" s="11"/>
    </row>
    <row r="33" spans="1:9">
      <c r="A33" s="30" t="s">
        <v>123</v>
      </c>
      <c r="B33" s="30"/>
      <c r="C33" s="30"/>
      <c r="D33" s="30"/>
      <c r="E33" s="30"/>
      <c r="F33" s="77" t="s">
        <v>12</v>
      </c>
      <c r="G33" s="30"/>
      <c r="H33" s="87"/>
      <c r="I33" s="11"/>
    </row>
    <row r="34" spans="1:9">
      <c r="A34" s="89"/>
      <c r="B34" s="31">
        <v>43272</v>
      </c>
      <c r="C34" s="171"/>
      <c r="D34" s="89"/>
      <c r="E34" s="30"/>
      <c r="F34" s="77" t="s">
        <v>91</v>
      </c>
      <c r="G34" s="30"/>
      <c r="H34" s="87"/>
      <c r="I34" s="11"/>
    </row>
    <row r="35" spans="1:9">
      <c r="H35" s="11"/>
    </row>
    <row r="36" spans="1:9">
      <c r="H36" s="11"/>
    </row>
  </sheetData>
  <mergeCells count="7">
    <mergeCell ref="A3:H3"/>
    <mergeCell ref="H6:H7"/>
    <mergeCell ref="C5:H5"/>
    <mergeCell ref="A4:D4"/>
    <mergeCell ref="C6:D6"/>
    <mergeCell ref="E6:F6"/>
    <mergeCell ref="G6:G7"/>
  </mergeCells>
  <pageMargins left="0.70866141732283472" right="0.70866141732283472" top="0.35433070866141736" bottom="0.15748031496062992" header="0.31496062992125984" footer="0.31496062992125984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topLeftCell="A4" workbookViewId="0">
      <selection activeCell="C6" sqref="C6:D6"/>
    </sheetView>
  </sheetViews>
  <sheetFormatPr defaultRowHeight="12.75"/>
  <cols>
    <col min="1" max="1" width="5.42578125" customWidth="1"/>
    <col min="2" max="2" width="58" customWidth="1"/>
    <col min="3" max="3" width="12.85546875" bestFit="1" customWidth="1"/>
    <col min="4" max="6" width="12.7109375" customWidth="1"/>
    <col min="7" max="7" width="11" customWidth="1"/>
    <col min="8" max="8" width="13.28515625" customWidth="1"/>
  </cols>
  <sheetData>
    <row r="1" spans="1:8">
      <c r="A1" s="152" t="s">
        <v>108</v>
      </c>
    </row>
    <row r="2" spans="1:8">
      <c r="A2" s="32"/>
    </row>
    <row r="3" spans="1:8" ht="31.5" customHeight="1">
      <c r="A3" s="523" t="s">
        <v>127</v>
      </c>
      <c r="B3" s="523"/>
      <c r="C3" s="523"/>
      <c r="D3" s="523"/>
      <c r="E3" s="523"/>
      <c r="F3" s="523"/>
      <c r="G3" s="523"/>
    </row>
    <row r="4" spans="1:8" ht="9.75" customHeight="1" thickBot="1">
      <c r="A4" s="502"/>
      <c r="B4" s="502"/>
      <c r="C4" s="502"/>
      <c r="D4" s="502"/>
    </row>
    <row r="5" spans="1:8" ht="11.25" customHeight="1">
      <c r="A5" s="142"/>
      <c r="B5" s="133"/>
      <c r="C5" s="521" t="s">
        <v>60</v>
      </c>
      <c r="D5" s="521"/>
      <c r="E5" s="521"/>
      <c r="F5" s="521"/>
      <c r="G5" s="521"/>
      <c r="H5" s="522"/>
    </row>
    <row r="6" spans="1:8" ht="15" customHeight="1">
      <c r="A6" s="143" t="s">
        <v>61</v>
      </c>
      <c r="B6" s="134" t="s">
        <v>62</v>
      </c>
      <c r="C6" s="524" t="s">
        <v>63</v>
      </c>
      <c r="D6" s="517"/>
      <c r="E6" s="525" t="s">
        <v>64</v>
      </c>
      <c r="F6" s="526"/>
      <c r="G6" s="527" t="s">
        <v>6</v>
      </c>
      <c r="H6" s="519" t="s">
        <v>113</v>
      </c>
    </row>
    <row r="7" spans="1:8" ht="23.25" customHeight="1" thickBot="1">
      <c r="A7" s="141"/>
      <c r="B7" s="135"/>
      <c r="C7" s="125" t="s">
        <v>65</v>
      </c>
      <c r="D7" s="126" t="s">
        <v>66</v>
      </c>
      <c r="E7" s="126" t="s">
        <v>66</v>
      </c>
      <c r="F7" s="105" t="s">
        <v>67</v>
      </c>
      <c r="G7" s="528"/>
      <c r="H7" s="520"/>
    </row>
    <row r="8" spans="1:8" ht="18.75" customHeight="1">
      <c r="A8" s="145">
        <v>1</v>
      </c>
      <c r="B8" s="136" t="s">
        <v>68</v>
      </c>
      <c r="C8" s="127">
        <v>0</v>
      </c>
      <c r="D8" s="82">
        <v>0</v>
      </c>
      <c r="E8" s="92">
        <v>0</v>
      </c>
      <c r="F8" s="92">
        <v>91</v>
      </c>
      <c r="G8" s="65">
        <f>SUM(C8+D8+E8+F8)</f>
        <v>91</v>
      </c>
      <c r="H8" s="149">
        <f>G8/G31</f>
        <v>8.8349514563106791E-3</v>
      </c>
    </row>
    <row r="9" spans="1:8" ht="15" customHeight="1">
      <c r="A9" s="145">
        <v>2</v>
      </c>
      <c r="B9" s="137" t="s">
        <v>69</v>
      </c>
      <c r="C9" s="128">
        <v>0</v>
      </c>
      <c r="D9" s="63">
        <v>0</v>
      </c>
      <c r="E9" s="64">
        <v>0</v>
      </c>
      <c r="F9" s="64">
        <v>16</v>
      </c>
      <c r="G9" s="86">
        <f>SUM(C9+D9+E9+F9)</f>
        <v>16</v>
      </c>
      <c r="H9" s="110">
        <f>G9/G31</f>
        <v>1.5533980582524273E-3</v>
      </c>
    </row>
    <row r="10" spans="1:8" ht="15" customHeight="1">
      <c r="A10" s="145">
        <v>3</v>
      </c>
      <c r="B10" s="137" t="s">
        <v>70</v>
      </c>
      <c r="C10" s="128">
        <v>1</v>
      </c>
      <c r="D10" s="63">
        <v>0</v>
      </c>
      <c r="E10" s="64">
        <v>1</v>
      </c>
      <c r="F10" s="64">
        <f>751+1</f>
        <v>752</v>
      </c>
      <c r="G10" s="86">
        <f t="shared" ref="G10:G30" si="0">SUM(C10+D10+E10+F10)</f>
        <v>754</v>
      </c>
      <c r="H10" s="110">
        <f>G10/G31</f>
        <v>7.320388349514563E-2</v>
      </c>
    </row>
    <row r="11" spans="1:8" ht="25.5">
      <c r="A11" s="145">
        <v>4</v>
      </c>
      <c r="B11" s="137" t="s">
        <v>71</v>
      </c>
      <c r="C11" s="129">
        <v>0</v>
      </c>
      <c r="D11" s="66">
        <v>0</v>
      </c>
      <c r="E11" s="67">
        <v>0</v>
      </c>
      <c r="F11" s="59">
        <v>8</v>
      </c>
      <c r="G11" s="29">
        <f t="shared" si="0"/>
        <v>8</v>
      </c>
      <c r="H11" s="110">
        <f>G11/G31</f>
        <v>7.7669902912621365E-4</v>
      </c>
    </row>
    <row r="12" spans="1:8" ht="24.75" customHeight="1">
      <c r="A12" s="145">
        <v>5</v>
      </c>
      <c r="B12" s="137" t="s">
        <v>72</v>
      </c>
      <c r="C12" s="128">
        <v>0</v>
      </c>
      <c r="D12" s="63">
        <v>0</v>
      </c>
      <c r="E12" s="64">
        <v>0</v>
      </c>
      <c r="F12" s="64">
        <v>6</v>
      </c>
      <c r="G12" s="29">
        <f t="shared" si="0"/>
        <v>6</v>
      </c>
      <c r="H12" s="110">
        <f>G12/G31</f>
        <v>5.8252427184466023E-4</v>
      </c>
    </row>
    <row r="13" spans="1:8" ht="15" customHeight="1">
      <c r="A13" s="145">
        <v>6</v>
      </c>
      <c r="B13" s="137" t="s">
        <v>73</v>
      </c>
      <c r="C13" s="129">
        <v>0</v>
      </c>
      <c r="D13" s="63">
        <v>0</v>
      </c>
      <c r="E13" s="59">
        <v>3</v>
      </c>
      <c r="F13" s="59">
        <v>597</v>
      </c>
      <c r="G13" s="29">
        <f t="shared" si="0"/>
        <v>600</v>
      </c>
      <c r="H13" s="110">
        <f>G13/G31</f>
        <v>5.8252427184466021E-2</v>
      </c>
    </row>
    <row r="14" spans="1:8" ht="26.25" customHeight="1">
      <c r="A14" s="145">
        <v>7</v>
      </c>
      <c r="B14" s="137" t="s">
        <v>74</v>
      </c>
      <c r="C14" s="129">
        <v>0</v>
      </c>
      <c r="D14" s="63">
        <v>0</v>
      </c>
      <c r="E14" s="59">
        <v>14</v>
      </c>
      <c r="F14" s="59">
        <f>2179+2</f>
        <v>2181</v>
      </c>
      <c r="G14" s="29">
        <f t="shared" si="0"/>
        <v>2195</v>
      </c>
      <c r="H14" s="110">
        <f>G14/G31</f>
        <v>0.21310679611650485</v>
      </c>
    </row>
    <row r="15" spans="1:8" ht="15" customHeight="1">
      <c r="A15" s="145">
        <v>8</v>
      </c>
      <c r="B15" s="137" t="s">
        <v>75</v>
      </c>
      <c r="C15" s="129">
        <v>0</v>
      </c>
      <c r="D15" s="63">
        <v>0</v>
      </c>
      <c r="E15" s="58">
        <v>3</v>
      </c>
      <c r="F15" s="59">
        <f>416+2</f>
        <v>418</v>
      </c>
      <c r="G15" s="29">
        <f t="shared" si="0"/>
        <v>421</v>
      </c>
      <c r="H15" s="110">
        <f>G15/G31</f>
        <v>4.0873786407766989E-2</v>
      </c>
    </row>
    <row r="16" spans="1:8" ht="15" customHeight="1">
      <c r="A16" s="145">
        <v>9</v>
      </c>
      <c r="B16" s="137" t="s">
        <v>76</v>
      </c>
      <c r="C16" s="128">
        <v>0</v>
      </c>
      <c r="D16" s="63">
        <v>1</v>
      </c>
      <c r="E16" s="64">
        <v>661</v>
      </c>
      <c r="F16" s="64">
        <f>1214+3</f>
        <v>1217</v>
      </c>
      <c r="G16" s="29">
        <f t="shared" si="0"/>
        <v>1879</v>
      </c>
      <c r="H16" s="110">
        <f>G16/G31</f>
        <v>0.18242718446601941</v>
      </c>
    </row>
    <row r="17" spans="1:8" ht="15" customHeight="1">
      <c r="A17" s="145">
        <v>10</v>
      </c>
      <c r="B17" s="137" t="s">
        <v>77</v>
      </c>
      <c r="C17" s="128">
        <v>0</v>
      </c>
      <c r="D17" s="63">
        <v>0</v>
      </c>
      <c r="E17" s="64">
        <v>0</v>
      </c>
      <c r="F17" s="64">
        <v>282</v>
      </c>
      <c r="G17" s="86">
        <f t="shared" si="0"/>
        <v>282</v>
      </c>
      <c r="H17" s="110">
        <f>G17/G31</f>
        <v>2.7378640776699031E-2</v>
      </c>
    </row>
    <row r="18" spans="1:8" ht="15" customHeight="1">
      <c r="A18" s="145">
        <v>11</v>
      </c>
      <c r="B18" s="137" t="s">
        <v>78</v>
      </c>
      <c r="C18" s="128">
        <v>0</v>
      </c>
      <c r="D18" s="63">
        <v>0</v>
      </c>
      <c r="E18" s="64">
        <v>0</v>
      </c>
      <c r="F18" s="59">
        <v>515</v>
      </c>
      <c r="G18" s="29">
        <f t="shared" si="0"/>
        <v>515</v>
      </c>
      <c r="H18" s="110">
        <f>G18/G31</f>
        <v>0.05</v>
      </c>
    </row>
    <row r="19" spans="1:8" ht="15" customHeight="1">
      <c r="A19" s="145">
        <v>12</v>
      </c>
      <c r="B19" s="137" t="s">
        <v>79</v>
      </c>
      <c r="C19" s="128">
        <v>0</v>
      </c>
      <c r="D19" s="63">
        <v>0</v>
      </c>
      <c r="E19" s="64">
        <v>2</v>
      </c>
      <c r="F19" s="64">
        <v>88</v>
      </c>
      <c r="G19" s="86">
        <f t="shared" si="0"/>
        <v>90</v>
      </c>
      <c r="H19" s="110">
        <f>G19/G31</f>
        <v>8.7378640776699032E-3</v>
      </c>
    </row>
    <row r="20" spans="1:8" ht="15" customHeight="1">
      <c r="A20" s="145">
        <v>13</v>
      </c>
      <c r="B20" s="137" t="s">
        <v>80</v>
      </c>
      <c r="C20" s="128">
        <v>0</v>
      </c>
      <c r="D20" s="63">
        <v>0</v>
      </c>
      <c r="E20" s="64">
        <v>0</v>
      </c>
      <c r="F20" s="64">
        <f>682+1</f>
        <v>683</v>
      </c>
      <c r="G20" s="86">
        <f t="shared" si="0"/>
        <v>683</v>
      </c>
      <c r="H20" s="110">
        <f>G20/G31</f>
        <v>6.6310679611650492E-2</v>
      </c>
    </row>
    <row r="21" spans="1:8" ht="15" customHeight="1">
      <c r="A21" s="145">
        <v>14</v>
      </c>
      <c r="B21" s="137" t="s">
        <v>81</v>
      </c>
      <c r="C21" s="128">
        <v>0</v>
      </c>
      <c r="D21" s="63">
        <v>0</v>
      </c>
      <c r="E21" s="64">
        <v>5</v>
      </c>
      <c r="F21" s="64">
        <v>376</v>
      </c>
      <c r="G21" s="86">
        <f t="shared" si="0"/>
        <v>381</v>
      </c>
      <c r="H21" s="110">
        <f>G21/G31</f>
        <v>3.6990291262135926E-2</v>
      </c>
    </row>
    <row r="22" spans="1:8" ht="15" customHeight="1">
      <c r="A22" s="146">
        <v>15</v>
      </c>
      <c r="B22" s="137" t="s">
        <v>82</v>
      </c>
      <c r="C22" s="128">
        <v>0</v>
      </c>
      <c r="D22" s="63">
        <v>0</v>
      </c>
      <c r="E22" s="64">
        <v>1</v>
      </c>
      <c r="F22" s="64">
        <v>461</v>
      </c>
      <c r="G22" s="86">
        <f t="shared" si="0"/>
        <v>462</v>
      </c>
      <c r="H22" s="110">
        <f>G22/G31</f>
        <v>4.4854368932038834E-2</v>
      </c>
    </row>
    <row r="23" spans="1:8" ht="15" customHeight="1">
      <c r="A23" s="145">
        <v>16</v>
      </c>
      <c r="B23" s="137" t="s">
        <v>83</v>
      </c>
      <c r="C23" s="128">
        <v>0</v>
      </c>
      <c r="D23" s="63">
        <v>0</v>
      </c>
      <c r="E23" s="64">
        <v>1</v>
      </c>
      <c r="F23" s="64">
        <v>359</v>
      </c>
      <c r="G23" s="29">
        <f t="shared" si="0"/>
        <v>360</v>
      </c>
      <c r="H23" s="110">
        <f>G23/G31</f>
        <v>3.4951456310679613E-2</v>
      </c>
    </row>
    <row r="24" spans="1:8" ht="24.75" customHeight="1">
      <c r="A24" s="146">
        <v>17</v>
      </c>
      <c r="B24" s="137" t="s">
        <v>84</v>
      </c>
      <c r="C24" s="128">
        <v>0</v>
      </c>
      <c r="D24" s="63">
        <v>0</v>
      </c>
      <c r="E24" s="64">
        <v>0</v>
      </c>
      <c r="F24" s="64">
        <v>243</v>
      </c>
      <c r="G24" s="86">
        <f t="shared" si="0"/>
        <v>243</v>
      </c>
      <c r="H24" s="110">
        <f>G24/G31</f>
        <v>2.3592233009708738E-2</v>
      </c>
    </row>
    <row r="25" spans="1:8" ht="15" customHeight="1">
      <c r="A25" s="145">
        <v>18</v>
      </c>
      <c r="B25" s="138" t="s">
        <v>85</v>
      </c>
      <c r="C25" s="128">
        <v>0</v>
      </c>
      <c r="D25" s="63">
        <v>0</v>
      </c>
      <c r="E25" s="64">
        <v>4</v>
      </c>
      <c r="F25" s="64">
        <v>217</v>
      </c>
      <c r="G25" s="86">
        <f t="shared" si="0"/>
        <v>221</v>
      </c>
      <c r="H25" s="110">
        <f>G25/G31</f>
        <v>2.1456310679611651E-2</v>
      </c>
    </row>
    <row r="26" spans="1:8" ht="15" customHeight="1">
      <c r="A26" s="145">
        <v>19</v>
      </c>
      <c r="B26" s="138" t="s">
        <v>86</v>
      </c>
      <c r="C26" s="128">
        <v>0</v>
      </c>
      <c r="D26" s="63">
        <v>0</v>
      </c>
      <c r="E26" s="64">
        <v>7</v>
      </c>
      <c r="F26" s="64">
        <f>276+1</f>
        <v>277</v>
      </c>
      <c r="G26" s="86">
        <f t="shared" si="0"/>
        <v>284</v>
      </c>
      <c r="H26" s="110">
        <f>G26/G31</f>
        <v>2.7572815533980582E-2</v>
      </c>
    </row>
    <row r="27" spans="1:8" ht="38.25" customHeight="1">
      <c r="A27" s="146">
        <v>20</v>
      </c>
      <c r="B27" s="138" t="s">
        <v>87</v>
      </c>
      <c r="C27" s="128">
        <v>0</v>
      </c>
      <c r="D27" s="63">
        <v>0</v>
      </c>
      <c r="E27" s="64">
        <v>0</v>
      </c>
      <c r="F27" s="64">
        <v>16</v>
      </c>
      <c r="G27" s="86">
        <f t="shared" si="0"/>
        <v>16</v>
      </c>
      <c r="H27" s="110">
        <f>G27/G31</f>
        <v>1.5533980582524273E-3</v>
      </c>
    </row>
    <row r="28" spans="1:8" ht="15.75" customHeight="1">
      <c r="A28" s="145">
        <v>21</v>
      </c>
      <c r="B28" s="138" t="s">
        <v>88</v>
      </c>
      <c r="C28" s="128">
        <v>0</v>
      </c>
      <c r="D28" s="63">
        <v>0</v>
      </c>
      <c r="E28" s="64">
        <v>0</v>
      </c>
      <c r="F28" s="64">
        <v>17</v>
      </c>
      <c r="G28" s="86">
        <f t="shared" si="0"/>
        <v>17</v>
      </c>
      <c r="H28" s="110">
        <f>G28/G31</f>
        <v>1.6504854368932038E-3</v>
      </c>
    </row>
    <row r="29" spans="1:8">
      <c r="A29" s="145">
        <v>22</v>
      </c>
      <c r="B29" s="139" t="s">
        <v>89</v>
      </c>
      <c r="C29" s="128">
        <v>0</v>
      </c>
      <c r="D29" s="63">
        <v>0</v>
      </c>
      <c r="E29" s="64">
        <v>5</v>
      </c>
      <c r="F29" s="64">
        <f>758+13</f>
        <v>771</v>
      </c>
      <c r="G29" s="86">
        <f t="shared" si="0"/>
        <v>776</v>
      </c>
      <c r="H29" s="110">
        <f>G29/G31</f>
        <v>7.5339805825242717E-2</v>
      </c>
    </row>
    <row r="30" spans="1:8" ht="13.5" thickBot="1">
      <c r="A30" s="145">
        <v>23</v>
      </c>
      <c r="B30" s="140" t="s">
        <v>90</v>
      </c>
      <c r="C30" s="130">
        <v>0</v>
      </c>
      <c r="D30" s="68">
        <v>0</v>
      </c>
      <c r="E30" s="69">
        <v>0</v>
      </c>
      <c r="F30" s="64">
        <v>0</v>
      </c>
      <c r="G30" s="86">
        <f t="shared" si="0"/>
        <v>0</v>
      </c>
      <c r="H30" s="110">
        <f>G30/G31</f>
        <v>0</v>
      </c>
    </row>
    <row r="31" spans="1:8" ht="13.5" thickBot="1">
      <c r="A31" s="147"/>
      <c r="B31" s="132" t="s">
        <v>6</v>
      </c>
      <c r="C31" s="131">
        <f t="shared" ref="C31:H31" si="1">SUM(C8:C30)</f>
        <v>1</v>
      </c>
      <c r="D31" s="70">
        <f>SUM(D8:D30)</f>
        <v>1</v>
      </c>
      <c r="E31" s="70">
        <f t="shared" si="1"/>
        <v>707</v>
      </c>
      <c r="F31" s="70">
        <f t="shared" si="1"/>
        <v>9591</v>
      </c>
      <c r="G31" s="71">
        <f t="shared" si="1"/>
        <v>10300</v>
      </c>
      <c r="H31" s="148">
        <f t="shared" si="1"/>
        <v>1</v>
      </c>
    </row>
    <row r="32" spans="1:8">
      <c r="B32" s="39"/>
      <c r="F32" s="87"/>
      <c r="G32" s="88"/>
    </row>
    <row r="33" spans="1:9">
      <c r="A33" s="30" t="s">
        <v>123</v>
      </c>
      <c r="B33" s="30"/>
      <c r="C33" s="30"/>
      <c r="D33" s="30"/>
      <c r="E33" s="30"/>
      <c r="F33" s="30"/>
      <c r="G33" s="77" t="s">
        <v>12</v>
      </c>
      <c r="H33" s="30"/>
      <c r="I33" s="87"/>
    </row>
    <row r="34" spans="1:9">
      <c r="A34" s="89"/>
      <c r="B34" s="31">
        <v>43299</v>
      </c>
      <c r="C34" s="173"/>
      <c r="D34" s="173"/>
      <c r="E34" s="89"/>
      <c r="F34" s="30"/>
      <c r="G34" s="77" t="s">
        <v>91</v>
      </c>
      <c r="H34" s="30"/>
      <c r="I34" s="87"/>
    </row>
  </sheetData>
  <mergeCells count="7">
    <mergeCell ref="H6:H7"/>
    <mergeCell ref="C5:H5"/>
    <mergeCell ref="A3:G3"/>
    <mergeCell ref="A4:D4"/>
    <mergeCell ref="C6:D6"/>
    <mergeCell ref="E6:F6"/>
    <mergeCell ref="G6:G7"/>
  </mergeCells>
  <pageMargins left="0" right="0" top="0.35433070866141736" bottom="0.15748031496062992" header="0.31496062992125984" footer="0.31496062992125984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topLeftCell="A13" workbookViewId="0">
      <selection activeCell="F8" sqref="F8"/>
    </sheetView>
  </sheetViews>
  <sheetFormatPr defaultRowHeight="12.75"/>
  <cols>
    <col min="1" max="1" width="5.42578125" customWidth="1"/>
    <col min="2" max="2" width="53.85546875" customWidth="1"/>
    <col min="3" max="3" width="12.28515625" customWidth="1"/>
    <col min="4" max="4" width="12.42578125" customWidth="1"/>
    <col min="5" max="7" width="12.7109375" customWidth="1"/>
    <col min="8" max="8" width="12" customWidth="1"/>
  </cols>
  <sheetData>
    <row r="1" spans="1:8">
      <c r="A1" s="122" t="s">
        <v>103</v>
      </c>
      <c r="B1" s="24"/>
    </row>
    <row r="2" spans="1:8" ht="28.5" customHeight="1">
      <c r="A2" s="503" t="s">
        <v>128</v>
      </c>
      <c r="B2" s="503"/>
      <c r="C2" s="503"/>
      <c r="D2" s="503"/>
      <c r="E2" s="503"/>
      <c r="F2" s="503"/>
      <c r="G2" s="503"/>
    </row>
    <row r="3" spans="1:8" ht="1.5" customHeight="1" thickBot="1">
      <c r="A3" s="502"/>
      <c r="B3" s="502"/>
      <c r="C3" s="502"/>
    </row>
    <row r="4" spans="1:8" ht="16.5" customHeight="1">
      <c r="A4" s="142"/>
      <c r="B4" s="133"/>
      <c r="C4" s="516" t="s">
        <v>60</v>
      </c>
      <c r="D4" s="505"/>
      <c r="E4" s="505"/>
      <c r="F4" s="505"/>
      <c r="G4" s="505"/>
      <c r="H4" s="506"/>
    </row>
    <row r="5" spans="1:8" ht="16.5" customHeight="1">
      <c r="A5" s="143" t="s">
        <v>61</v>
      </c>
      <c r="B5" s="134" t="s">
        <v>62</v>
      </c>
      <c r="C5" s="517" t="s">
        <v>63</v>
      </c>
      <c r="D5" s="508"/>
      <c r="E5" s="509" t="s">
        <v>64</v>
      </c>
      <c r="F5" s="509"/>
      <c r="G5" s="532" t="s">
        <v>6</v>
      </c>
      <c r="H5" s="529" t="s">
        <v>113</v>
      </c>
    </row>
    <row r="6" spans="1:8" ht="24.75" customHeight="1" thickBot="1">
      <c r="A6" s="135"/>
      <c r="B6" s="135"/>
      <c r="C6" s="150" t="s">
        <v>65</v>
      </c>
      <c r="D6" s="105" t="s">
        <v>66</v>
      </c>
      <c r="E6" s="105" t="s">
        <v>66</v>
      </c>
      <c r="F6" s="105" t="s">
        <v>67</v>
      </c>
      <c r="G6" s="533"/>
      <c r="H6" s="530"/>
    </row>
    <row r="7" spans="1:8" ht="15" customHeight="1">
      <c r="A7" s="144">
        <v>1</v>
      </c>
      <c r="B7" s="136" t="s">
        <v>68</v>
      </c>
      <c r="C7" s="127">
        <v>0</v>
      </c>
      <c r="D7" s="82">
        <v>0</v>
      </c>
      <c r="E7" s="92">
        <v>0</v>
      </c>
      <c r="F7" s="92">
        <v>90</v>
      </c>
      <c r="G7" s="80">
        <f>SUM(C7+D7+E7+F7)</f>
        <v>90</v>
      </c>
      <c r="H7" s="153">
        <f>G7/G30</f>
        <v>8.2956954558023772E-3</v>
      </c>
    </row>
    <row r="8" spans="1:8" ht="15" customHeight="1">
      <c r="A8" s="145">
        <v>2</v>
      </c>
      <c r="B8" s="137" t="s">
        <v>69</v>
      </c>
      <c r="C8" s="128">
        <v>0</v>
      </c>
      <c r="D8" s="63">
        <v>0</v>
      </c>
      <c r="E8" s="64">
        <v>0</v>
      </c>
      <c r="F8" s="64">
        <v>17</v>
      </c>
      <c r="G8" s="103">
        <f>SUM(C8+D8+E8+F8)</f>
        <v>17</v>
      </c>
      <c r="H8" s="154">
        <f>G8/G30</f>
        <v>1.5669646972071159E-3</v>
      </c>
    </row>
    <row r="9" spans="1:8" ht="15" customHeight="1">
      <c r="A9" s="145">
        <v>3</v>
      </c>
      <c r="B9" s="137" t="s">
        <v>70</v>
      </c>
      <c r="C9" s="128">
        <v>1</v>
      </c>
      <c r="D9" s="63">
        <v>0</v>
      </c>
      <c r="E9" s="64">
        <v>0</v>
      </c>
      <c r="F9" s="64">
        <f>741+2</f>
        <v>743</v>
      </c>
      <c r="G9" s="103">
        <f t="shared" ref="G9:G29" si="0">SUM(C9+D9+E9+F9)</f>
        <v>744</v>
      </c>
      <c r="H9" s="154">
        <f>G9/G30</f>
        <v>6.8577749101299657E-2</v>
      </c>
    </row>
    <row r="10" spans="1:8" ht="28.5" customHeight="1">
      <c r="A10" s="145">
        <v>4</v>
      </c>
      <c r="B10" s="137" t="s">
        <v>71</v>
      </c>
      <c r="C10" s="129">
        <v>0</v>
      </c>
      <c r="D10" s="66">
        <v>0</v>
      </c>
      <c r="E10" s="67">
        <v>0</v>
      </c>
      <c r="F10" s="59">
        <v>4</v>
      </c>
      <c r="G10" s="104">
        <f t="shared" si="0"/>
        <v>4</v>
      </c>
      <c r="H10" s="154">
        <f>G10/G30</f>
        <v>3.68697575813439E-4</v>
      </c>
    </row>
    <row r="11" spans="1:8" ht="24.75" customHeight="1">
      <c r="A11" s="145">
        <v>5</v>
      </c>
      <c r="B11" s="137" t="s">
        <v>72</v>
      </c>
      <c r="C11" s="128">
        <v>0</v>
      </c>
      <c r="D11" s="63">
        <v>0</v>
      </c>
      <c r="E11" s="64">
        <v>0</v>
      </c>
      <c r="F11" s="64">
        <v>7</v>
      </c>
      <c r="G11" s="104">
        <f t="shared" si="0"/>
        <v>7</v>
      </c>
      <c r="H11" s="154">
        <f>G11/G30</f>
        <v>6.4522075767351828E-4</v>
      </c>
    </row>
    <row r="12" spans="1:8" ht="15" customHeight="1">
      <c r="A12" s="145">
        <v>6</v>
      </c>
      <c r="B12" s="137" t="s">
        <v>73</v>
      </c>
      <c r="C12" s="129">
        <v>0</v>
      </c>
      <c r="D12" s="58">
        <v>0</v>
      </c>
      <c r="E12" s="59">
        <v>2</v>
      </c>
      <c r="F12" s="59">
        <v>617</v>
      </c>
      <c r="G12" s="104">
        <f t="shared" si="0"/>
        <v>619</v>
      </c>
      <c r="H12" s="154">
        <f>G12/G30</f>
        <v>5.7055949857129688E-2</v>
      </c>
    </row>
    <row r="13" spans="1:8" ht="15" customHeight="1">
      <c r="A13" s="145">
        <v>7</v>
      </c>
      <c r="B13" s="137" t="s">
        <v>74</v>
      </c>
      <c r="C13" s="129">
        <v>0</v>
      </c>
      <c r="D13" s="58">
        <v>0</v>
      </c>
      <c r="E13" s="59">
        <v>10</v>
      </c>
      <c r="F13" s="59">
        <f>2050+1</f>
        <v>2051</v>
      </c>
      <c r="G13" s="104">
        <f t="shared" si="0"/>
        <v>2061</v>
      </c>
      <c r="H13" s="154">
        <f>G13/G30</f>
        <v>0.18997142593787447</v>
      </c>
    </row>
    <row r="14" spans="1:8" ht="15" customHeight="1">
      <c r="A14" s="145">
        <v>8</v>
      </c>
      <c r="B14" s="137" t="s">
        <v>75</v>
      </c>
      <c r="C14" s="129">
        <v>0</v>
      </c>
      <c r="D14" s="58">
        <v>0</v>
      </c>
      <c r="E14" s="58">
        <v>0</v>
      </c>
      <c r="F14" s="59">
        <f>309+1</f>
        <v>310</v>
      </c>
      <c r="G14" s="104">
        <f t="shared" si="0"/>
        <v>310</v>
      </c>
      <c r="H14" s="154">
        <f>G14/G30</f>
        <v>2.8574062125541526E-2</v>
      </c>
    </row>
    <row r="15" spans="1:8" ht="31.5" customHeight="1">
      <c r="A15" s="145">
        <v>9</v>
      </c>
      <c r="B15" s="137" t="s">
        <v>76</v>
      </c>
      <c r="C15" s="128">
        <v>0</v>
      </c>
      <c r="D15" s="63">
        <v>0</v>
      </c>
      <c r="E15" s="58">
        <v>214</v>
      </c>
      <c r="F15" s="64">
        <f>959+2</f>
        <v>961</v>
      </c>
      <c r="G15" s="104">
        <f t="shared" si="0"/>
        <v>1175</v>
      </c>
      <c r="H15" s="154">
        <f>G15/G30</f>
        <v>0.10830491289519771</v>
      </c>
    </row>
    <row r="16" spans="1:8" ht="15" customHeight="1">
      <c r="A16" s="145">
        <v>10</v>
      </c>
      <c r="B16" s="137" t="s">
        <v>77</v>
      </c>
      <c r="C16" s="128">
        <v>0</v>
      </c>
      <c r="D16" s="63">
        <v>0</v>
      </c>
      <c r="E16" s="64">
        <v>0</v>
      </c>
      <c r="F16" s="64">
        <v>280</v>
      </c>
      <c r="G16" s="103">
        <f t="shared" si="0"/>
        <v>280</v>
      </c>
      <c r="H16" s="154">
        <f>G16/G30</f>
        <v>2.5808830306940731E-2</v>
      </c>
    </row>
    <row r="17" spans="1:8" ht="15" customHeight="1">
      <c r="A17" s="145">
        <v>11</v>
      </c>
      <c r="B17" s="137" t="s">
        <v>78</v>
      </c>
      <c r="C17" s="128">
        <v>0</v>
      </c>
      <c r="D17" s="63">
        <v>0</v>
      </c>
      <c r="E17" s="64">
        <v>0</v>
      </c>
      <c r="F17" s="59">
        <v>509</v>
      </c>
      <c r="G17" s="104">
        <f t="shared" si="0"/>
        <v>509</v>
      </c>
      <c r="H17" s="154">
        <f>G17/G30</f>
        <v>4.6916766522260116E-2</v>
      </c>
    </row>
    <row r="18" spans="1:8" ht="15" customHeight="1">
      <c r="A18" s="145">
        <v>12</v>
      </c>
      <c r="B18" s="137" t="s">
        <v>79</v>
      </c>
      <c r="C18" s="128">
        <v>0</v>
      </c>
      <c r="D18" s="63">
        <v>0</v>
      </c>
      <c r="E18" s="64">
        <v>2</v>
      </c>
      <c r="F18" s="64">
        <v>76</v>
      </c>
      <c r="G18" s="103">
        <f t="shared" si="0"/>
        <v>78</v>
      </c>
      <c r="H18" s="154">
        <f>G18/G30</f>
        <v>7.1896027283620614E-3</v>
      </c>
    </row>
    <row r="19" spans="1:8" ht="15" customHeight="1">
      <c r="A19" s="145">
        <v>13</v>
      </c>
      <c r="B19" s="137" t="s">
        <v>80</v>
      </c>
      <c r="C19" s="128">
        <v>0</v>
      </c>
      <c r="D19" s="63">
        <v>0</v>
      </c>
      <c r="E19" s="64">
        <v>0</v>
      </c>
      <c r="F19" s="64">
        <f>680+1</f>
        <v>681</v>
      </c>
      <c r="G19" s="103">
        <f t="shared" si="0"/>
        <v>681</v>
      </c>
      <c r="H19" s="154">
        <f>G19/G30</f>
        <v>6.2770762282237991E-2</v>
      </c>
    </row>
    <row r="20" spans="1:8" ht="15" customHeight="1">
      <c r="A20" s="145">
        <v>14</v>
      </c>
      <c r="B20" s="137" t="s">
        <v>81</v>
      </c>
      <c r="C20" s="128">
        <v>0</v>
      </c>
      <c r="D20" s="63">
        <v>0</v>
      </c>
      <c r="E20" s="64">
        <v>3</v>
      </c>
      <c r="F20" s="64">
        <v>310</v>
      </c>
      <c r="G20" s="103">
        <f t="shared" si="0"/>
        <v>313</v>
      </c>
      <c r="H20" s="154">
        <f>G20/G30</f>
        <v>2.8850585307401602E-2</v>
      </c>
    </row>
    <row r="21" spans="1:8" ht="15" customHeight="1">
      <c r="A21" s="146">
        <v>15</v>
      </c>
      <c r="B21" s="137" t="s">
        <v>82</v>
      </c>
      <c r="C21" s="128">
        <v>0</v>
      </c>
      <c r="D21" s="63">
        <v>0</v>
      </c>
      <c r="E21" s="64">
        <v>0</v>
      </c>
      <c r="F21" s="64">
        <v>1021</v>
      </c>
      <c r="G21" s="103">
        <f t="shared" si="0"/>
        <v>1021</v>
      </c>
      <c r="H21" s="154">
        <f>G21/G30</f>
        <v>9.4110056226380315E-2</v>
      </c>
    </row>
    <row r="22" spans="1:8" ht="15" customHeight="1">
      <c r="A22" s="145">
        <v>16</v>
      </c>
      <c r="B22" s="137" t="s">
        <v>83</v>
      </c>
      <c r="C22" s="128">
        <v>0</v>
      </c>
      <c r="D22" s="63">
        <v>0</v>
      </c>
      <c r="E22" s="64">
        <v>1</v>
      </c>
      <c r="F22" s="64">
        <v>1344</v>
      </c>
      <c r="G22" s="104">
        <f t="shared" si="0"/>
        <v>1345</v>
      </c>
      <c r="H22" s="154">
        <f>G22/G30</f>
        <v>0.12397455986726887</v>
      </c>
    </row>
    <row r="23" spans="1:8" ht="27" customHeight="1">
      <c r="A23" s="146">
        <v>17</v>
      </c>
      <c r="B23" s="137" t="s">
        <v>84</v>
      </c>
      <c r="C23" s="128">
        <v>0</v>
      </c>
      <c r="D23" s="63">
        <v>0</v>
      </c>
      <c r="E23" s="64">
        <v>0</v>
      </c>
      <c r="F23" s="64">
        <v>248</v>
      </c>
      <c r="G23" s="103">
        <f t="shared" si="0"/>
        <v>248</v>
      </c>
      <c r="H23" s="154">
        <f>G23/G30</f>
        <v>2.285924970043322E-2</v>
      </c>
    </row>
    <row r="24" spans="1:8" ht="15" customHeight="1">
      <c r="A24" s="145">
        <v>18</v>
      </c>
      <c r="B24" s="138" t="s">
        <v>85</v>
      </c>
      <c r="C24" s="128">
        <v>0</v>
      </c>
      <c r="D24" s="63">
        <v>0</v>
      </c>
      <c r="E24" s="64">
        <v>0</v>
      </c>
      <c r="F24" s="64">
        <v>205</v>
      </c>
      <c r="G24" s="103">
        <f t="shared" si="0"/>
        <v>205</v>
      </c>
      <c r="H24" s="154">
        <f>G24/G30</f>
        <v>1.889575076043875E-2</v>
      </c>
    </row>
    <row r="25" spans="1:8" ht="15" customHeight="1">
      <c r="A25" s="145">
        <v>19</v>
      </c>
      <c r="B25" s="138" t="s">
        <v>86</v>
      </c>
      <c r="C25" s="128">
        <v>0</v>
      </c>
      <c r="D25" s="63">
        <v>0</v>
      </c>
      <c r="E25" s="64">
        <v>3</v>
      </c>
      <c r="F25" s="64">
        <v>322</v>
      </c>
      <c r="G25" s="103">
        <f t="shared" si="0"/>
        <v>325</v>
      </c>
      <c r="H25" s="154">
        <f>G25/G30</f>
        <v>2.9956678034841921E-2</v>
      </c>
    </row>
    <row r="26" spans="1:8" ht="38.25" customHeight="1">
      <c r="A26" s="146">
        <v>20</v>
      </c>
      <c r="B26" s="138" t="s">
        <v>87</v>
      </c>
      <c r="C26" s="128">
        <v>0</v>
      </c>
      <c r="D26" s="63">
        <v>0</v>
      </c>
      <c r="E26" s="64">
        <v>0</v>
      </c>
      <c r="F26" s="64">
        <v>19</v>
      </c>
      <c r="G26" s="106">
        <f t="shared" si="0"/>
        <v>19</v>
      </c>
      <c r="H26" s="154">
        <f>G26/G30</f>
        <v>1.7513134851138354E-3</v>
      </c>
    </row>
    <row r="27" spans="1:8" ht="15" customHeight="1">
      <c r="A27" s="145">
        <v>21</v>
      </c>
      <c r="B27" s="138" t="s">
        <v>88</v>
      </c>
      <c r="C27" s="128">
        <v>0</v>
      </c>
      <c r="D27" s="63">
        <v>0</v>
      </c>
      <c r="E27" s="64">
        <v>0</v>
      </c>
      <c r="F27" s="64">
        <v>18</v>
      </c>
      <c r="G27" s="103">
        <f t="shared" si="0"/>
        <v>18</v>
      </c>
      <c r="H27" s="154">
        <f>G27/G30</f>
        <v>1.6591390911604757E-3</v>
      </c>
    </row>
    <row r="28" spans="1:8" ht="15" customHeight="1">
      <c r="A28" s="145">
        <v>22</v>
      </c>
      <c r="B28" s="139" t="s">
        <v>89</v>
      </c>
      <c r="C28" s="128">
        <v>0</v>
      </c>
      <c r="D28" s="63">
        <v>0</v>
      </c>
      <c r="E28" s="64">
        <v>0</v>
      </c>
      <c r="F28" s="64">
        <f>765+15</f>
        <v>780</v>
      </c>
      <c r="G28" s="103">
        <f t="shared" si="0"/>
        <v>780</v>
      </c>
      <c r="H28" s="154">
        <f>G28/G30</f>
        <v>7.1896027283620614E-2</v>
      </c>
    </row>
    <row r="29" spans="1:8" ht="15" customHeight="1" thickBot="1">
      <c r="A29" s="145">
        <v>23</v>
      </c>
      <c r="B29" s="140" t="s">
        <v>90</v>
      </c>
      <c r="C29" s="130">
        <v>0</v>
      </c>
      <c r="D29" s="68">
        <v>0</v>
      </c>
      <c r="E29" s="69">
        <v>0</v>
      </c>
      <c r="F29" s="69">
        <v>0</v>
      </c>
      <c r="G29" s="106">
        <f t="shared" si="0"/>
        <v>0</v>
      </c>
      <c r="H29" s="155">
        <f>G29/G30</f>
        <v>0</v>
      </c>
    </row>
    <row r="30" spans="1:8" ht="15" customHeight="1" thickBot="1">
      <c r="A30" s="147"/>
      <c r="B30" s="132" t="s">
        <v>6</v>
      </c>
      <c r="C30" s="131">
        <f t="shared" ref="C30:H30" si="1">SUM(C7:C29)</f>
        <v>1</v>
      </c>
      <c r="D30" s="70">
        <f t="shared" si="1"/>
        <v>0</v>
      </c>
      <c r="E30" s="70">
        <f>SUM(E7:E29)</f>
        <v>235</v>
      </c>
      <c r="F30" s="70">
        <f t="shared" si="1"/>
        <v>10613</v>
      </c>
      <c r="G30" s="81">
        <f t="shared" si="1"/>
        <v>10849</v>
      </c>
      <c r="H30" s="156">
        <f t="shared" si="1"/>
        <v>1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295" t="s">
        <v>129</v>
      </c>
      <c r="B32" s="39"/>
      <c r="F32" s="87" t="s">
        <v>12</v>
      </c>
    </row>
    <row r="33" spans="1:6">
      <c r="A33" s="531">
        <v>43341</v>
      </c>
      <c r="B33" s="531"/>
      <c r="F33" s="87" t="s">
        <v>91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topLeftCell="A13" workbookViewId="0">
      <selection activeCell="L14" sqref="L14"/>
    </sheetView>
  </sheetViews>
  <sheetFormatPr defaultRowHeight="12.75"/>
  <cols>
    <col min="1" max="1" width="5.28515625" customWidth="1"/>
    <col min="2" max="2" width="50.85546875" customWidth="1"/>
    <col min="3" max="7" width="12.7109375" customWidth="1"/>
    <col min="8" max="8" width="13.28515625" customWidth="1"/>
  </cols>
  <sheetData>
    <row r="1" spans="1:8">
      <c r="A1" s="122" t="s">
        <v>102</v>
      </c>
      <c r="B1" s="24"/>
    </row>
    <row r="2" spans="1:8" ht="26.25" customHeight="1">
      <c r="A2" s="503" t="s">
        <v>130</v>
      </c>
      <c r="B2" s="503"/>
      <c r="C2" s="503"/>
      <c r="D2" s="503"/>
      <c r="E2" s="503"/>
      <c r="F2" s="503"/>
      <c r="G2" s="503"/>
    </row>
    <row r="3" spans="1:8" ht="16.5" thickBot="1">
      <c r="A3" s="502"/>
      <c r="B3" s="502"/>
      <c r="C3" s="502"/>
    </row>
    <row r="4" spans="1:8" ht="18" customHeight="1">
      <c r="A4" s="142"/>
      <c r="B4" s="133"/>
      <c r="C4" s="516" t="s">
        <v>60</v>
      </c>
      <c r="D4" s="505"/>
      <c r="E4" s="505"/>
      <c r="F4" s="505"/>
      <c r="G4" s="505"/>
      <c r="H4" s="536"/>
    </row>
    <row r="5" spans="1:8" ht="18.75" customHeight="1">
      <c r="A5" s="143" t="s">
        <v>61</v>
      </c>
      <c r="B5" s="134" t="s">
        <v>62</v>
      </c>
      <c r="C5" s="517" t="s">
        <v>63</v>
      </c>
      <c r="D5" s="508"/>
      <c r="E5" s="509" t="s">
        <v>64</v>
      </c>
      <c r="F5" s="509"/>
      <c r="G5" s="510" t="s">
        <v>6</v>
      </c>
      <c r="H5" s="534" t="s">
        <v>113</v>
      </c>
    </row>
    <row r="6" spans="1:8" ht="24.75" customHeight="1" thickBot="1">
      <c r="A6" s="135"/>
      <c r="B6" s="135"/>
      <c r="C6" s="150" t="s">
        <v>65</v>
      </c>
      <c r="D6" s="105" t="s">
        <v>66</v>
      </c>
      <c r="E6" s="105" t="s">
        <v>66</v>
      </c>
      <c r="F6" s="105" t="s">
        <v>67</v>
      </c>
      <c r="G6" s="538"/>
      <c r="H6" s="535"/>
    </row>
    <row r="7" spans="1:8" ht="15" customHeight="1">
      <c r="A7" s="144">
        <v>1</v>
      </c>
      <c r="B7" s="136" t="s">
        <v>68</v>
      </c>
      <c r="C7" s="127">
        <v>0</v>
      </c>
      <c r="D7" s="82">
        <v>0</v>
      </c>
      <c r="E7" s="92">
        <v>0</v>
      </c>
      <c r="F7" s="92">
        <v>89</v>
      </c>
      <c r="G7" s="80">
        <f>SUM(C7+D7+E7+F7)</f>
        <v>89</v>
      </c>
      <c r="H7" s="109">
        <f>G7/G30</f>
        <v>6.9056486654252014E-3</v>
      </c>
    </row>
    <row r="8" spans="1:8" ht="15" customHeight="1">
      <c r="A8" s="145">
        <v>2</v>
      </c>
      <c r="B8" s="137" t="s">
        <v>69</v>
      </c>
      <c r="C8" s="128">
        <v>0</v>
      </c>
      <c r="D8" s="63">
        <v>0</v>
      </c>
      <c r="E8" s="64">
        <v>0</v>
      </c>
      <c r="F8" s="64">
        <v>20</v>
      </c>
      <c r="G8" s="103">
        <f>SUM(C8+D8+E8+F8)</f>
        <v>20</v>
      </c>
      <c r="H8" s="110">
        <f>G8/G30</f>
        <v>1.5518311607697084E-3</v>
      </c>
    </row>
    <row r="9" spans="1:8" ht="15" customHeight="1">
      <c r="A9" s="145">
        <v>3</v>
      </c>
      <c r="B9" s="137" t="s">
        <v>70</v>
      </c>
      <c r="C9" s="128">
        <v>2</v>
      </c>
      <c r="D9" s="63">
        <v>0</v>
      </c>
      <c r="E9" s="64">
        <v>0</v>
      </c>
      <c r="F9" s="64">
        <f>758+2</f>
        <v>760</v>
      </c>
      <c r="G9" s="103">
        <f t="shared" ref="G9:G29" si="0">SUM(C9+D9+E9+F9)</f>
        <v>762</v>
      </c>
      <c r="H9" s="110">
        <f>G9/G30</f>
        <v>5.9124767225325885E-2</v>
      </c>
    </row>
    <row r="10" spans="1:8" ht="15" customHeight="1">
      <c r="A10" s="145">
        <v>4</v>
      </c>
      <c r="B10" s="137" t="s">
        <v>71</v>
      </c>
      <c r="C10" s="129">
        <v>0</v>
      </c>
      <c r="D10" s="66">
        <v>0</v>
      </c>
      <c r="E10" s="67">
        <v>0</v>
      </c>
      <c r="F10" s="67">
        <v>5</v>
      </c>
      <c r="G10" s="104">
        <f t="shared" si="0"/>
        <v>5</v>
      </c>
      <c r="H10" s="110">
        <f>G10/G30</f>
        <v>3.8795779019242709E-4</v>
      </c>
    </row>
    <row r="11" spans="1:8" ht="24.75" customHeight="1">
      <c r="A11" s="145">
        <v>5</v>
      </c>
      <c r="B11" s="137" t="s">
        <v>72</v>
      </c>
      <c r="C11" s="128">
        <v>0</v>
      </c>
      <c r="D11" s="63">
        <v>0</v>
      </c>
      <c r="E11" s="64">
        <v>0</v>
      </c>
      <c r="F11" s="64">
        <v>9</v>
      </c>
      <c r="G11" s="104">
        <f t="shared" si="0"/>
        <v>9</v>
      </c>
      <c r="H11" s="110">
        <f>G11/G30</f>
        <v>6.9832402234636874E-4</v>
      </c>
    </row>
    <row r="12" spans="1:8" ht="15" customHeight="1">
      <c r="A12" s="145">
        <v>6</v>
      </c>
      <c r="B12" s="137" t="s">
        <v>73</v>
      </c>
      <c r="C12" s="129">
        <v>0</v>
      </c>
      <c r="D12" s="58">
        <v>0</v>
      </c>
      <c r="E12" s="59">
        <v>2</v>
      </c>
      <c r="F12" s="59">
        <v>636</v>
      </c>
      <c r="G12" s="104">
        <f t="shared" si="0"/>
        <v>638</v>
      </c>
      <c r="H12" s="110">
        <f>G12/G30</f>
        <v>4.9503414028553697E-2</v>
      </c>
    </row>
    <row r="13" spans="1:8" ht="24.75" customHeight="1">
      <c r="A13" s="145">
        <v>7</v>
      </c>
      <c r="B13" s="137" t="s">
        <v>74</v>
      </c>
      <c r="C13" s="129">
        <v>0</v>
      </c>
      <c r="D13" s="58">
        <v>0</v>
      </c>
      <c r="E13" s="59">
        <v>7</v>
      </c>
      <c r="F13" s="59">
        <f>2103+2</f>
        <v>2105</v>
      </c>
      <c r="G13" s="104">
        <f t="shared" si="0"/>
        <v>2112</v>
      </c>
      <c r="H13" s="110">
        <f>G13/G30</f>
        <v>0.16387337057728119</v>
      </c>
    </row>
    <row r="14" spans="1:8" ht="15" customHeight="1">
      <c r="A14" s="145">
        <v>8</v>
      </c>
      <c r="B14" s="137" t="s">
        <v>75</v>
      </c>
      <c r="C14" s="129">
        <v>0</v>
      </c>
      <c r="D14" s="58">
        <v>0</v>
      </c>
      <c r="E14" s="58">
        <v>0</v>
      </c>
      <c r="F14" s="58">
        <f>313+1</f>
        <v>314</v>
      </c>
      <c r="G14" s="104">
        <f t="shared" si="0"/>
        <v>314</v>
      </c>
      <c r="H14" s="110">
        <f>G14/G30</f>
        <v>2.4363749224084418E-2</v>
      </c>
    </row>
    <row r="15" spans="1:8" ht="15" customHeight="1">
      <c r="A15" s="145">
        <v>9</v>
      </c>
      <c r="B15" s="137" t="s">
        <v>76</v>
      </c>
      <c r="C15" s="128">
        <v>0</v>
      </c>
      <c r="D15" s="63">
        <v>0</v>
      </c>
      <c r="E15" s="58">
        <v>152</v>
      </c>
      <c r="F15" s="58">
        <f>960+1</f>
        <v>961</v>
      </c>
      <c r="G15" s="104">
        <f t="shared" si="0"/>
        <v>1113</v>
      </c>
      <c r="H15" s="110">
        <f>G15/G30</f>
        <v>8.6359404096834264E-2</v>
      </c>
    </row>
    <row r="16" spans="1:8" ht="15" customHeight="1">
      <c r="A16" s="145">
        <v>10</v>
      </c>
      <c r="B16" s="137" t="s">
        <v>77</v>
      </c>
      <c r="C16" s="128">
        <v>0</v>
      </c>
      <c r="D16" s="63">
        <v>0</v>
      </c>
      <c r="E16" s="64">
        <v>0</v>
      </c>
      <c r="F16" s="64">
        <v>316</v>
      </c>
      <c r="G16" s="103">
        <f t="shared" si="0"/>
        <v>316</v>
      </c>
      <c r="H16" s="110">
        <f>G16/G30</f>
        <v>2.4518932340161389E-2</v>
      </c>
    </row>
    <row r="17" spans="1:8" ht="15" customHeight="1">
      <c r="A17" s="145">
        <v>11</v>
      </c>
      <c r="B17" s="137" t="s">
        <v>78</v>
      </c>
      <c r="C17" s="128">
        <v>0</v>
      </c>
      <c r="D17" s="63">
        <v>0</v>
      </c>
      <c r="E17" s="64">
        <v>0</v>
      </c>
      <c r="F17" s="64">
        <f>550+2</f>
        <v>552</v>
      </c>
      <c r="G17" s="104">
        <f t="shared" si="0"/>
        <v>552</v>
      </c>
      <c r="H17" s="110">
        <f>G17/G30</f>
        <v>4.2830540037243951E-2</v>
      </c>
    </row>
    <row r="18" spans="1:8" ht="15" customHeight="1">
      <c r="A18" s="145">
        <v>12</v>
      </c>
      <c r="B18" s="137" t="s">
        <v>79</v>
      </c>
      <c r="C18" s="128">
        <v>0</v>
      </c>
      <c r="D18" s="63">
        <v>0</v>
      </c>
      <c r="E18" s="64">
        <v>3</v>
      </c>
      <c r="F18" s="64">
        <v>75</v>
      </c>
      <c r="G18" s="103">
        <f t="shared" si="0"/>
        <v>78</v>
      </c>
      <c r="H18" s="110">
        <f>G18/G30</f>
        <v>6.0521415270018619E-3</v>
      </c>
    </row>
    <row r="19" spans="1:8" ht="15" customHeight="1">
      <c r="A19" s="145">
        <v>13</v>
      </c>
      <c r="B19" s="137" t="s">
        <v>80</v>
      </c>
      <c r="C19" s="128">
        <v>0</v>
      </c>
      <c r="D19" s="63">
        <v>0</v>
      </c>
      <c r="E19" s="64">
        <v>0</v>
      </c>
      <c r="F19" s="64">
        <f>691+1</f>
        <v>692</v>
      </c>
      <c r="G19" s="103">
        <f t="shared" si="0"/>
        <v>692</v>
      </c>
      <c r="H19" s="110">
        <f>G19/G30</f>
        <v>5.3693358162631905E-2</v>
      </c>
    </row>
    <row r="20" spans="1:8" ht="15" customHeight="1">
      <c r="A20" s="145">
        <v>14</v>
      </c>
      <c r="B20" s="137" t="s">
        <v>81</v>
      </c>
      <c r="C20" s="128">
        <v>0</v>
      </c>
      <c r="D20" s="63">
        <v>0</v>
      </c>
      <c r="E20" s="64">
        <v>2</v>
      </c>
      <c r="F20" s="64">
        <v>342</v>
      </c>
      <c r="G20" s="103">
        <f t="shared" si="0"/>
        <v>344</v>
      </c>
      <c r="H20" s="110">
        <f>G20/G30</f>
        <v>2.6691495965238982E-2</v>
      </c>
    </row>
    <row r="21" spans="1:8" ht="15" customHeight="1">
      <c r="A21" s="146">
        <v>15</v>
      </c>
      <c r="B21" s="137" t="s">
        <v>82</v>
      </c>
      <c r="C21" s="128">
        <v>0</v>
      </c>
      <c r="D21" s="63">
        <v>0</v>
      </c>
      <c r="E21" s="64">
        <v>0</v>
      </c>
      <c r="F21" s="64">
        <v>1622</v>
      </c>
      <c r="G21" s="103">
        <f t="shared" si="0"/>
        <v>1622</v>
      </c>
      <c r="H21" s="110">
        <f>G21/G30</f>
        <v>0.12585350713842333</v>
      </c>
    </row>
    <row r="22" spans="1:8" ht="15" customHeight="1">
      <c r="A22" s="145">
        <v>16</v>
      </c>
      <c r="B22" s="137" t="s">
        <v>83</v>
      </c>
      <c r="C22" s="128">
        <v>0</v>
      </c>
      <c r="D22" s="63">
        <v>0</v>
      </c>
      <c r="E22" s="64">
        <v>1</v>
      </c>
      <c r="F22" s="64">
        <f>2449+1</f>
        <v>2450</v>
      </c>
      <c r="G22" s="104">
        <f t="shared" si="0"/>
        <v>2451</v>
      </c>
      <c r="H22" s="110">
        <f>G22/G30</f>
        <v>0.19017690875232773</v>
      </c>
    </row>
    <row r="23" spans="1:8" ht="24.75" customHeight="1">
      <c r="A23" s="146">
        <v>17</v>
      </c>
      <c r="B23" s="137" t="s">
        <v>84</v>
      </c>
      <c r="C23" s="128">
        <v>0</v>
      </c>
      <c r="D23" s="63">
        <v>0</v>
      </c>
      <c r="E23" s="64">
        <v>0</v>
      </c>
      <c r="F23" s="64">
        <v>262</v>
      </c>
      <c r="G23" s="103">
        <f t="shared" si="0"/>
        <v>262</v>
      </c>
      <c r="H23" s="110">
        <f>G23/G30</f>
        <v>2.0328988206083178E-2</v>
      </c>
    </row>
    <row r="24" spans="1:8" ht="15" customHeight="1">
      <c r="A24" s="145">
        <v>18</v>
      </c>
      <c r="B24" s="138" t="s">
        <v>85</v>
      </c>
      <c r="C24" s="128">
        <v>0</v>
      </c>
      <c r="D24" s="63">
        <v>0</v>
      </c>
      <c r="E24" s="64">
        <v>0</v>
      </c>
      <c r="F24" s="64">
        <v>216</v>
      </c>
      <c r="G24" s="103">
        <f t="shared" si="0"/>
        <v>216</v>
      </c>
      <c r="H24" s="110">
        <f>G24/G30</f>
        <v>1.6759776536312849E-2</v>
      </c>
    </row>
    <row r="25" spans="1:8" ht="15" customHeight="1">
      <c r="A25" s="145">
        <v>19</v>
      </c>
      <c r="B25" s="138" t="s">
        <v>86</v>
      </c>
      <c r="C25" s="128">
        <v>0</v>
      </c>
      <c r="D25" s="63">
        <v>0</v>
      </c>
      <c r="E25" s="64">
        <v>3</v>
      </c>
      <c r="F25" s="64">
        <v>416</v>
      </c>
      <c r="G25" s="103">
        <f t="shared" si="0"/>
        <v>419</v>
      </c>
      <c r="H25" s="110">
        <f>G25/G30</f>
        <v>3.2510862818125388E-2</v>
      </c>
    </row>
    <row r="26" spans="1:8" ht="39" customHeight="1">
      <c r="A26" s="146">
        <v>20</v>
      </c>
      <c r="B26" s="138" t="s">
        <v>87</v>
      </c>
      <c r="C26" s="128">
        <v>0</v>
      </c>
      <c r="D26" s="63">
        <v>0</v>
      </c>
      <c r="E26" s="64">
        <v>0</v>
      </c>
      <c r="F26" s="64">
        <v>18</v>
      </c>
      <c r="G26" s="106">
        <f t="shared" si="0"/>
        <v>18</v>
      </c>
      <c r="H26" s="110">
        <f>G26/G30</f>
        <v>1.3966480446927375E-3</v>
      </c>
    </row>
    <row r="27" spans="1:8" ht="15" customHeight="1">
      <c r="A27" s="145">
        <v>21</v>
      </c>
      <c r="B27" s="138" t="s">
        <v>88</v>
      </c>
      <c r="C27" s="128">
        <v>0</v>
      </c>
      <c r="D27" s="63">
        <v>0</v>
      </c>
      <c r="E27" s="64">
        <v>0</v>
      </c>
      <c r="F27" s="64">
        <v>20</v>
      </c>
      <c r="G27" s="103">
        <f t="shared" si="0"/>
        <v>20</v>
      </c>
      <c r="H27" s="110">
        <f>G27/G30</f>
        <v>1.5518311607697084E-3</v>
      </c>
    </row>
    <row r="28" spans="1:8" ht="15" customHeight="1">
      <c r="A28" s="145">
        <v>22</v>
      </c>
      <c r="B28" s="139" t="s">
        <v>89</v>
      </c>
      <c r="C28" s="128">
        <v>0</v>
      </c>
      <c r="D28" s="63">
        <v>0</v>
      </c>
      <c r="E28" s="64">
        <v>0</v>
      </c>
      <c r="F28" s="64">
        <f>825+11</f>
        <v>836</v>
      </c>
      <c r="G28" s="103">
        <f t="shared" si="0"/>
        <v>836</v>
      </c>
      <c r="H28" s="110">
        <f>G28/G30</f>
        <v>6.4866542520173806E-2</v>
      </c>
    </row>
    <row r="29" spans="1:8" ht="15" customHeight="1" thickBot="1">
      <c r="A29" s="145">
        <v>23</v>
      </c>
      <c r="B29" s="140" t="s">
        <v>90</v>
      </c>
      <c r="C29" s="130">
        <v>0</v>
      </c>
      <c r="D29" s="68">
        <v>0</v>
      </c>
      <c r="E29" s="69">
        <v>0</v>
      </c>
      <c r="F29" s="69">
        <v>0</v>
      </c>
      <c r="G29" s="106">
        <f t="shared" si="0"/>
        <v>0</v>
      </c>
      <c r="H29" s="157">
        <f>G29/G30</f>
        <v>0</v>
      </c>
    </row>
    <row r="30" spans="1:8" ht="15" customHeight="1" thickBot="1">
      <c r="A30" s="147"/>
      <c r="B30" s="132" t="s">
        <v>6</v>
      </c>
      <c r="C30" s="131">
        <f t="shared" ref="C30:H30" si="1">SUM(C7:C29)</f>
        <v>2</v>
      </c>
      <c r="D30" s="70">
        <f t="shared" si="1"/>
        <v>0</v>
      </c>
      <c r="E30" s="70">
        <f t="shared" si="1"/>
        <v>170</v>
      </c>
      <c r="F30" s="70">
        <f t="shared" si="1"/>
        <v>12716</v>
      </c>
      <c r="G30" s="81">
        <f t="shared" si="1"/>
        <v>12888</v>
      </c>
      <c r="H30" s="156">
        <f t="shared" si="1"/>
        <v>1.0000000000000002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295" t="s">
        <v>131</v>
      </c>
      <c r="B32" s="39"/>
      <c r="F32" s="87" t="s">
        <v>12</v>
      </c>
    </row>
    <row r="33" spans="1:6">
      <c r="A33" s="537">
        <v>43396</v>
      </c>
      <c r="B33" s="537"/>
      <c r="F33" s="87" t="s">
        <v>91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11811023622047245" right="0.11811023622047245" top="0.35433070866141736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4"/>
  <sheetViews>
    <sheetView workbookViewId="0">
      <selection activeCell="L13" sqref="L13"/>
    </sheetView>
  </sheetViews>
  <sheetFormatPr defaultRowHeight="12.75"/>
  <cols>
    <col min="1" max="1" width="5.42578125" customWidth="1"/>
    <col min="2" max="2" width="55.5703125" customWidth="1"/>
    <col min="3" max="7" width="12.7109375" customWidth="1"/>
    <col min="8" max="8" width="11.7109375" customWidth="1"/>
  </cols>
  <sheetData>
    <row r="2" spans="1:8">
      <c r="A2" s="122" t="s">
        <v>109</v>
      </c>
      <c r="B2" s="24"/>
    </row>
    <row r="3" spans="1:8" ht="27" customHeight="1">
      <c r="A3" s="503" t="s">
        <v>132</v>
      </c>
      <c r="B3" s="503"/>
      <c r="C3" s="503"/>
      <c r="D3" s="503"/>
      <c r="E3" s="503"/>
      <c r="F3" s="503"/>
      <c r="G3" s="503"/>
    </row>
    <row r="4" spans="1:8" ht="16.5" thickBot="1">
      <c r="A4" s="502"/>
      <c r="B4" s="502"/>
      <c r="C4" s="502"/>
    </row>
    <row r="5" spans="1:8" ht="16.5" customHeight="1">
      <c r="A5" s="142"/>
      <c r="B5" s="133"/>
      <c r="C5" s="516" t="s">
        <v>60</v>
      </c>
      <c r="D5" s="505"/>
      <c r="E5" s="505"/>
      <c r="F5" s="505"/>
      <c r="G5" s="505"/>
      <c r="H5" s="158"/>
    </row>
    <row r="6" spans="1:8">
      <c r="A6" s="143" t="s">
        <v>61</v>
      </c>
      <c r="B6" s="134" t="s">
        <v>62</v>
      </c>
      <c r="C6" s="517" t="s">
        <v>63</v>
      </c>
      <c r="D6" s="508"/>
      <c r="E6" s="509" t="s">
        <v>64</v>
      </c>
      <c r="F6" s="509"/>
      <c r="G6" s="510" t="s">
        <v>6</v>
      </c>
      <c r="H6" s="539" t="s">
        <v>113</v>
      </c>
    </row>
    <row r="7" spans="1:8" ht="27" customHeight="1" thickBot="1">
      <c r="A7" s="135"/>
      <c r="B7" s="135"/>
      <c r="C7" s="150" t="s">
        <v>65</v>
      </c>
      <c r="D7" s="105" t="s">
        <v>66</v>
      </c>
      <c r="E7" s="105" t="s">
        <v>66</v>
      </c>
      <c r="F7" s="105" t="s">
        <v>67</v>
      </c>
      <c r="G7" s="538"/>
      <c r="H7" s="540"/>
    </row>
    <row r="8" spans="1:8" ht="15" customHeight="1">
      <c r="A8" s="144">
        <v>1</v>
      </c>
      <c r="B8" s="136" t="s">
        <v>68</v>
      </c>
      <c r="C8" s="127">
        <v>0</v>
      </c>
      <c r="D8" s="82">
        <v>0</v>
      </c>
      <c r="E8" s="92">
        <v>0</v>
      </c>
      <c r="F8" s="92">
        <v>84</v>
      </c>
      <c r="G8" s="80">
        <f>SUM(C8+D8+E8+F8)</f>
        <v>84</v>
      </c>
      <c r="H8" s="109">
        <f>G8/G31</f>
        <v>6.4844835572024084E-3</v>
      </c>
    </row>
    <row r="9" spans="1:8" ht="15" customHeight="1">
      <c r="A9" s="145">
        <v>2</v>
      </c>
      <c r="B9" s="137" t="s">
        <v>69</v>
      </c>
      <c r="C9" s="128">
        <v>0</v>
      </c>
      <c r="D9" s="63">
        <v>0</v>
      </c>
      <c r="E9" s="64">
        <v>0</v>
      </c>
      <c r="F9" s="64">
        <v>17</v>
      </c>
      <c r="G9" s="103">
        <f>SUM(C9+D9+E9+F9)</f>
        <v>17</v>
      </c>
      <c r="H9" s="110">
        <f>G9/G31</f>
        <v>1.3123359580052493E-3</v>
      </c>
    </row>
    <row r="10" spans="1:8" ht="15" customHeight="1">
      <c r="A10" s="145">
        <v>3</v>
      </c>
      <c r="B10" s="137" t="s">
        <v>70</v>
      </c>
      <c r="C10" s="128">
        <v>0</v>
      </c>
      <c r="D10" s="63">
        <v>0</v>
      </c>
      <c r="E10" s="64">
        <v>0</v>
      </c>
      <c r="F10" s="64">
        <v>734</v>
      </c>
      <c r="G10" s="103">
        <f t="shared" ref="G10:G30" si="0">SUM(C10+D10+E10+F10)</f>
        <v>734</v>
      </c>
      <c r="H10" s="110">
        <f>G10/G31</f>
        <v>5.6662034892697236E-2</v>
      </c>
    </row>
    <row r="11" spans="1:8" ht="15" customHeight="1">
      <c r="A11" s="145">
        <v>4</v>
      </c>
      <c r="B11" s="137" t="s">
        <v>71</v>
      </c>
      <c r="C11" s="129">
        <v>0</v>
      </c>
      <c r="D11" s="66">
        <v>0</v>
      </c>
      <c r="E11" s="67">
        <v>0</v>
      </c>
      <c r="F11" s="59">
        <v>5</v>
      </c>
      <c r="G11" s="104">
        <f t="shared" si="0"/>
        <v>5</v>
      </c>
      <c r="H11" s="110">
        <f>G11/G31</f>
        <v>3.8598116411919098E-4</v>
      </c>
    </row>
    <row r="12" spans="1:8" ht="23.25" customHeight="1">
      <c r="A12" s="145">
        <v>5</v>
      </c>
      <c r="B12" s="137" t="s">
        <v>72</v>
      </c>
      <c r="C12" s="128">
        <v>0</v>
      </c>
      <c r="D12" s="63">
        <v>0</v>
      </c>
      <c r="E12" s="64">
        <v>0</v>
      </c>
      <c r="F12" s="64">
        <v>8</v>
      </c>
      <c r="G12" s="104">
        <f t="shared" si="0"/>
        <v>8</v>
      </c>
      <c r="H12" s="110">
        <f>G12/G31</f>
        <v>6.1756986259070556E-4</v>
      </c>
    </row>
    <row r="13" spans="1:8" ht="15" customHeight="1">
      <c r="A13" s="145">
        <v>6</v>
      </c>
      <c r="B13" s="137" t="s">
        <v>73</v>
      </c>
      <c r="C13" s="129">
        <v>0</v>
      </c>
      <c r="D13" s="58">
        <v>0</v>
      </c>
      <c r="E13" s="59">
        <v>3</v>
      </c>
      <c r="F13" s="59">
        <f>624+1</f>
        <v>625</v>
      </c>
      <c r="G13" s="104">
        <f t="shared" si="0"/>
        <v>628</v>
      </c>
      <c r="H13" s="110">
        <f>G13/G31</f>
        <v>4.8479234213370387E-2</v>
      </c>
    </row>
    <row r="14" spans="1:8" ht="25.5" customHeight="1">
      <c r="A14" s="145">
        <v>7</v>
      </c>
      <c r="B14" s="137" t="s">
        <v>74</v>
      </c>
      <c r="C14" s="129">
        <v>0</v>
      </c>
      <c r="D14" s="58">
        <v>0</v>
      </c>
      <c r="E14" s="59">
        <v>8</v>
      </c>
      <c r="F14" s="59">
        <f>2053+1</f>
        <v>2054</v>
      </c>
      <c r="G14" s="104">
        <f t="shared" si="0"/>
        <v>2062</v>
      </c>
      <c r="H14" s="110">
        <f>G14/G31</f>
        <v>0.15917863208275437</v>
      </c>
    </row>
    <row r="15" spans="1:8" ht="15" customHeight="1">
      <c r="A15" s="145">
        <v>8</v>
      </c>
      <c r="B15" s="137" t="s">
        <v>75</v>
      </c>
      <c r="C15" s="129">
        <v>0</v>
      </c>
      <c r="D15" s="58">
        <v>0</v>
      </c>
      <c r="E15" s="58">
        <v>0</v>
      </c>
      <c r="F15" s="59">
        <v>298</v>
      </c>
      <c r="G15" s="104">
        <f t="shared" si="0"/>
        <v>298</v>
      </c>
      <c r="H15" s="110">
        <f>G15/G31</f>
        <v>2.3004477381503782E-2</v>
      </c>
    </row>
    <row r="16" spans="1:8" ht="15" customHeight="1">
      <c r="A16" s="145">
        <v>9</v>
      </c>
      <c r="B16" s="137" t="s">
        <v>76</v>
      </c>
      <c r="C16" s="128">
        <v>0</v>
      </c>
      <c r="D16" s="63">
        <v>0</v>
      </c>
      <c r="E16" s="58">
        <v>128</v>
      </c>
      <c r="F16" s="64">
        <f>916+1</f>
        <v>917</v>
      </c>
      <c r="G16" s="104">
        <f t="shared" si="0"/>
        <v>1045</v>
      </c>
      <c r="H16" s="110">
        <f>G16/G31</f>
        <v>8.0670063300910921E-2</v>
      </c>
    </row>
    <row r="17" spans="1:8" ht="15" customHeight="1">
      <c r="A17" s="145">
        <v>10</v>
      </c>
      <c r="B17" s="137" t="s">
        <v>77</v>
      </c>
      <c r="C17" s="128">
        <v>0</v>
      </c>
      <c r="D17" s="63">
        <v>0</v>
      </c>
      <c r="E17" s="64">
        <v>0</v>
      </c>
      <c r="F17" s="64">
        <v>334</v>
      </c>
      <c r="G17" s="103">
        <f t="shared" si="0"/>
        <v>334</v>
      </c>
      <c r="H17" s="110">
        <f>G17/G31</f>
        <v>2.5783541763161957E-2</v>
      </c>
    </row>
    <row r="18" spans="1:8" ht="15" customHeight="1">
      <c r="A18" s="145">
        <v>11</v>
      </c>
      <c r="B18" s="137" t="s">
        <v>78</v>
      </c>
      <c r="C18" s="128">
        <v>0</v>
      </c>
      <c r="D18" s="63">
        <v>0</v>
      </c>
      <c r="E18" s="64">
        <v>0</v>
      </c>
      <c r="F18" s="59">
        <f>568+2</f>
        <v>570</v>
      </c>
      <c r="G18" s="104">
        <f t="shared" si="0"/>
        <v>570</v>
      </c>
      <c r="H18" s="110">
        <f>G18/G31</f>
        <v>4.4001852709587772E-2</v>
      </c>
    </row>
    <row r="19" spans="1:8" ht="15" customHeight="1">
      <c r="A19" s="145">
        <v>12</v>
      </c>
      <c r="B19" s="137" t="s">
        <v>79</v>
      </c>
      <c r="C19" s="128">
        <v>0</v>
      </c>
      <c r="D19" s="63">
        <v>0</v>
      </c>
      <c r="E19" s="64">
        <v>2</v>
      </c>
      <c r="F19" s="64">
        <v>82</v>
      </c>
      <c r="G19" s="103">
        <f t="shared" si="0"/>
        <v>84</v>
      </c>
      <c r="H19" s="110">
        <f>G19/G31</f>
        <v>6.4844835572024084E-3</v>
      </c>
    </row>
    <row r="20" spans="1:8" ht="15" customHeight="1">
      <c r="A20" s="145">
        <v>13</v>
      </c>
      <c r="B20" s="137" t="s">
        <v>80</v>
      </c>
      <c r="C20" s="128">
        <v>0</v>
      </c>
      <c r="D20" s="63">
        <v>0</v>
      </c>
      <c r="E20" s="64">
        <v>0</v>
      </c>
      <c r="F20" s="64">
        <v>694</v>
      </c>
      <c r="G20" s="103">
        <f t="shared" si="0"/>
        <v>694</v>
      </c>
      <c r="H20" s="110">
        <f>G20/G31</f>
        <v>5.3574185579743708E-2</v>
      </c>
    </row>
    <row r="21" spans="1:8" ht="15" customHeight="1">
      <c r="A21" s="145">
        <v>14</v>
      </c>
      <c r="B21" s="137" t="s">
        <v>81</v>
      </c>
      <c r="C21" s="128">
        <v>0</v>
      </c>
      <c r="D21" s="63">
        <v>0</v>
      </c>
      <c r="E21" s="64">
        <v>2</v>
      </c>
      <c r="F21" s="64">
        <v>337</v>
      </c>
      <c r="G21" s="103">
        <f t="shared" si="0"/>
        <v>339</v>
      </c>
      <c r="H21" s="110">
        <f>G21/G31</f>
        <v>2.6169522927281148E-2</v>
      </c>
    </row>
    <row r="22" spans="1:8" ht="15" customHeight="1">
      <c r="A22" s="146">
        <v>15</v>
      </c>
      <c r="B22" s="137" t="s">
        <v>82</v>
      </c>
      <c r="C22" s="128">
        <v>0</v>
      </c>
      <c r="D22" s="63">
        <v>0</v>
      </c>
      <c r="E22" s="64">
        <v>0</v>
      </c>
      <c r="F22" s="64">
        <v>1677</v>
      </c>
      <c r="G22" s="103">
        <f t="shared" si="0"/>
        <v>1677</v>
      </c>
      <c r="H22" s="110">
        <f>G22/G31</f>
        <v>0.12945808244557666</v>
      </c>
    </row>
    <row r="23" spans="1:8" ht="15" customHeight="1">
      <c r="A23" s="145">
        <v>16</v>
      </c>
      <c r="B23" s="137" t="s">
        <v>83</v>
      </c>
      <c r="C23" s="128">
        <v>0</v>
      </c>
      <c r="D23" s="63">
        <v>0</v>
      </c>
      <c r="E23" s="64">
        <v>1</v>
      </c>
      <c r="F23" s="64">
        <f>2560+1</f>
        <v>2561</v>
      </c>
      <c r="G23" s="104">
        <f t="shared" si="0"/>
        <v>2562</v>
      </c>
      <c r="H23" s="110">
        <f>G23/G31</f>
        <v>0.19777674849467347</v>
      </c>
    </row>
    <row r="24" spans="1:8" ht="23.25" customHeight="1">
      <c r="A24" s="146">
        <v>17</v>
      </c>
      <c r="B24" s="137" t="s">
        <v>84</v>
      </c>
      <c r="C24" s="128">
        <v>0</v>
      </c>
      <c r="D24" s="63">
        <v>0</v>
      </c>
      <c r="E24" s="64">
        <v>0</v>
      </c>
      <c r="F24" s="64">
        <v>268</v>
      </c>
      <c r="G24" s="103">
        <f t="shared" si="0"/>
        <v>268</v>
      </c>
      <c r="H24" s="110">
        <f>G24/G31</f>
        <v>2.0688590396788636E-2</v>
      </c>
    </row>
    <row r="25" spans="1:8" ht="15" customHeight="1">
      <c r="A25" s="145">
        <v>18</v>
      </c>
      <c r="B25" s="138" t="s">
        <v>85</v>
      </c>
      <c r="C25" s="128">
        <v>0</v>
      </c>
      <c r="D25" s="63">
        <v>0</v>
      </c>
      <c r="E25" s="64">
        <v>0</v>
      </c>
      <c r="F25" s="64">
        <v>215</v>
      </c>
      <c r="G25" s="103">
        <f t="shared" si="0"/>
        <v>215</v>
      </c>
      <c r="H25" s="110">
        <f>G25/G31</f>
        <v>1.6597190057125212E-2</v>
      </c>
    </row>
    <row r="26" spans="1:8" ht="15" customHeight="1">
      <c r="A26" s="145">
        <v>19</v>
      </c>
      <c r="B26" s="138" t="s">
        <v>86</v>
      </c>
      <c r="C26" s="128">
        <v>0</v>
      </c>
      <c r="D26" s="63">
        <v>0</v>
      </c>
      <c r="E26" s="64">
        <v>1</v>
      </c>
      <c r="F26" s="64">
        <v>420</v>
      </c>
      <c r="G26" s="103">
        <f t="shared" si="0"/>
        <v>421</v>
      </c>
      <c r="H26" s="110">
        <f>G26/G31</f>
        <v>3.249961401883588E-2</v>
      </c>
    </row>
    <row r="27" spans="1:8" ht="35.25" customHeight="1">
      <c r="A27" s="146">
        <v>20</v>
      </c>
      <c r="B27" s="138" t="s">
        <v>87</v>
      </c>
      <c r="C27" s="128">
        <v>0</v>
      </c>
      <c r="D27" s="63">
        <v>0</v>
      </c>
      <c r="E27" s="64">
        <v>0</v>
      </c>
      <c r="F27" s="64">
        <v>14</v>
      </c>
      <c r="G27" s="106">
        <f t="shared" si="0"/>
        <v>14</v>
      </c>
      <c r="H27" s="110">
        <f>G27/G31</f>
        <v>1.0807472595337347E-3</v>
      </c>
    </row>
    <row r="28" spans="1:8" ht="15" customHeight="1">
      <c r="A28" s="145">
        <v>21</v>
      </c>
      <c r="B28" s="138" t="s">
        <v>88</v>
      </c>
      <c r="C28" s="128">
        <v>0</v>
      </c>
      <c r="D28" s="63">
        <v>0</v>
      </c>
      <c r="E28" s="64">
        <v>0</v>
      </c>
      <c r="F28" s="64">
        <f>19+1</f>
        <v>20</v>
      </c>
      <c r="G28" s="103">
        <f t="shared" si="0"/>
        <v>20</v>
      </c>
      <c r="H28" s="110">
        <f>G28/G31</f>
        <v>1.5439246564767639E-3</v>
      </c>
    </row>
    <row r="29" spans="1:8" ht="15" customHeight="1">
      <c r="A29" s="145">
        <v>22</v>
      </c>
      <c r="B29" s="139" t="s">
        <v>89</v>
      </c>
      <c r="C29" s="128">
        <v>0</v>
      </c>
      <c r="D29" s="63">
        <v>0</v>
      </c>
      <c r="E29" s="64">
        <v>0</v>
      </c>
      <c r="F29" s="64">
        <f>864+11</f>
        <v>875</v>
      </c>
      <c r="G29" s="103">
        <f t="shared" si="0"/>
        <v>875</v>
      </c>
      <c r="H29" s="110">
        <f>G29/G31</f>
        <v>6.7546703720858428E-2</v>
      </c>
    </row>
    <row r="30" spans="1:8" ht="15" customHeight="1" thickBot="1">
      <c r="A30" s="145">
        <v>23</v>
      </c>
      <c r="B30" s="140" t="s">
        <v>90</v>
      </c>
      <c r="C30" s="130">
        <v>0</v>
      </c>
      <c r="D30" s="68">
        <v>0</v>
      </c>
      <c r="E30" s="69">
        <v>0</v>
      </c>
      <c r="F30" s="69">
        <v>0</v>
      </c>
      <c r="G30" s="106">
        <f t="shared" si="0"/>
        <v>0</v>
      </c>
      <c r="H30" s="111">
        <f>G30/G31</f>
        <v>0</v>
      </c>
    </row>
    <row r="31" spans="1:8" ht="15" customHeight="1" thickBot="1">
      <c r="A31" s="147"/>
      <c r="B31" s="132" t="s">
        <v>6</v>
      </c>
      <c r="C31" s="131">
        <f>SUM(C8:C30)</f>
        <v>0</v>
      </c>
      <c r="D31" s="70">
        <f t="shared" ref="D31:H31" si="1">SUM(D8:D30)</f>
        <v>0</v>
      </c>
      <c r="E31" s="70">
        <f t="shared" si="1"/>
        <v>145</v>
      </c>
      <c r="F31" s="70">
        <f t="shared" si="1"/>
        <v>12809</v>
      </c>
      <c r="G31" s="71">
        <f t="shared" si="1"/>
        <v>12954</v>
      </c>
      <c r="H31" s="156">
        <f t="shared" si="1"/>
        <v>1</v>
      </c>
    </row>
    <row r="32" spans="1:8">
      <c r="A32" s="74"/>
      <c r="B32" s="75"/>
      <c r="C32" s="76"/>
      <c r="D32" s="76"/>
      <c r="E32" s="76"/>
      <c r="F32" s="76"/>
      <c r="G32" s="76"/>
    </row>
    <row r="33" spans="1:6">
      <c r="A33" s="295" t="s">
        <v>131</v>
      </c>
      <c r="B33" s="39"/>
      <c r="F33" s="87" t="s">
        <v>12</v>
      </c>
    </row>
    <row r="34" spans="1:6">
      <c r="A34" s="531">
        <v>43396</v>
      </c>
      <c r="B34" s="531"/>
      <c r="F34" s="87" t="s">
        <v>91</v>
      </c>
    </row>
  </sheetData>
  <mergeCells count="8">
    <mergeCell ref="H6:H7"/>
    <mergeCell ref="A34:B34"/>
    <mergeCell ref="A3:G3"/>
    <mergeCell ref="A4:C4"/>
    <mergeCell ref="C5:G5"/>
    <mergeCell ref="C6:D6"/>
    <mergeCell ref="E6:F6"/>
    <mergeCell ref="G6:G7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B32" sqref="B32"/>
    </sheetView>
  </sheetViews>
  <sheetFormatPr defaultRowHeight="12.75"/>
  <cols>
    <col min="1" max="1" width="5.42578125" customWidth="1"/>
    <col min="2" max="2" width="60.85546875" customWidth="1"/>
    <col min="3" max="7" width="12.7109375" customWidth="1"/>
    <col min="8" max="8" width="12.85546875" customWidth="1"/>
  </cols>
  <sheetData>
    <row r="1" spans="1:8">
      <c r="A1" s="122" t="s">
        <v>110</v>
      </c>
      <c r="B1" s="24"/>
    </row>
    <row r="2" spans="1:8" ht="26.25" customHeight="1">
      <c r="A2" s="541" t="s">
        <v>133</v>
      </c>
      <c r="B2" s="541"/>
      <c r="C2" s="541"/>
      <c r="D2" s="541"/>
      <c r="E2" s="541"/>
      <c r="F2" s="541"/>
      <c r="G2" s="541"/>
    </row>
    <row r="3" spans="1:8" ht="11.25" customHeight="1" thickBot="1">
      <c r="A3" s="502"/>
      <c r="B3" s="502"/>
      <c r="C3" s="502"/>
    </row>
    <row r="4" spans="1:8" ht="14.25" customHeight="1">
      <c r="A4" s="142"/>
      <c r="B4" s="133"/>
      <c r="C4" s="516" t="s">
        <v>60</v>
      </c>
      <c r="D4" s="505"/>
      <c r="E4" s="505"/>
      <c r="F4" s="505"/>
      <c r="G4" s="505"/>
      <c r="H4" s="506"/>
    </row>
    <row r="5" spans="1:8" ht="13.5" customHeight="1">
      <c r="A5" s="143" t="s">
        <v>61</v>
      </c>
      <c r="B5" s="134" t="s">
        <v>62</v>
      </c>
      <c r="C5" s="517" t="s">
        <v>63</v>
      </c>
      <c r="D5" s="508"/>
      <c r="E5" s="509" t="s">
        <v>64</v>
      </c>
      <c r="F5" s="509"/>
      <c r="G5" s="510" t="s">
        <v>6</v>
      </c>
      <c r="H5" s="539" t="s">
        <v>113</v>
      </c>
    </row>
    <row r="6" spans="1:8" ht="24" customHeight="1" thickBot="1">
      <c r="A6" s="135"/>
      <c r="B6" s="135"/>
      <c r="C6" s="150" t="s">
        <v>65</v>
      </c>
      <c r="D6" s="105" t="s">
        <v>66</v>
      </c>
      <c r="E6" s="105" t="s">
        <v>66</v>
      </c>
      <c r="F6" s="105" t="s">
        <v>67</v>
      </c>
      <c r="G6" s="538"/>
      <c r="H6" s="540"/>
    </row>
    <row r="7" spans="1:8" ht="14.25" customHeight="1">
      <c r="A7" s="144">
        <v>1</v>
      </c>
      <c r="B7" s="136" t="s">
        <v>68</v>
      </c>
      <c r="C7" s="127">
        <v>0</v>
      </c>
      <c r="D7" s="82">
        <v>0</v>
      </c>
      <c r="E7" s="92">
        <v>0</v>
      </c>
      <c r="F7" s="92">
        <v>87</v>
      </c>
      <c r="G7" s="80">
        <f>SUM(C7+D7+E7+F7)</f>
        <v>87</v>
      </c>
      <c r="H7" s="109">
        <f>G7/G30</f>
        <v>6.7473243369008838E-3</v>
      </c>
    </row>
    <row r="8" spans="1:8" ht="14.25" customHeight="1">
      <c r="A8" s="145">
        <v>2</v>
      </c>
      <c r="B8" s="137" t="s">
        <v>69</v>
      </c>
      <c r="C8" s="128">
        <v>0</v>
      </c>
      <c r="D8" s="63">
        <v>0</v>
      </c>
      <c r="E8" s="64">
        <v>0</v>
      </c>
      <c r="F8" s="64">
        <v>15</v>
      </c>
      <c r="G8" s="103">
        <f>SUM(C8+D8+E8+F8)</f>
        <v>15</v>
      </c>
      <c r="H8" s="110">
        <f>G8/G30</f>
        <v>1.1633317822242904E-3</v>
      </c>
    </row>
    <row r="9" spans="1:8" ht="12.75" customHeight="1">
      <c r="A9" s="145">
        <v>3</v>
      </c>
      <c r="B9" s="137" t="s">
        <v>70</v>
      </c>
      <c r="C9" s="128">
        <v>7</v>
      </c>
      <c r="D9" s="63">
        <v>0</v>
      </c>
      <c r="E9" s="64">
        <v>1</v>
      </c>
      <c r="F9" s="64">
        <v>771</v>
      </c>
      <c r="G9" s="103">
        <f>SUM(C9+D9+E9+F9)</f>
        <v>779</v>
      </c>
      <c r="H9" s="110">
        <f>G9/G30</f>
        <v>6.0415697223514815E-2</v>
      </c>
    </row>
    <row r="10" spans="1:8" ht="15" customHeight="1">
      <c r="A10" s="145">
        <v>4</v>
      </c>
      <c r="B10" s="137" t="s">
        <v>71</v>
      </c>
      <c r="C10" s="129">
        <v>0</v>
      </c>
      <c r="D10" s="66">
        <v>0</v>
      </c>
      <c r="E10" s="67">
        <v>0</v>
      </c>
      <c r="F10" s="59">
        <v>5</v>
      </c>
      <c r="G10" s="104">
        <f t="shared" ref="G10:G29" si="0">SUM(C10+D10+E10+F10)</f>
        <v>5</v>
      </c>
      <c r="H10" s="110">
        <f>G10/G30</f>
        <v>3.8777726074143014E-4</v>
      </c>
    </row>
    <row r="11" spans="1:8" ht="24" customHeight="1">
      <c r="A11" s="145">
        <v>5</v>
      </c>
      <c r="B11" s="137" t="s">
        <v>72</v>
      </c>
      <c r="C11" s="128">
        <v>0</v>
      </c>
      <c r="D11" s="63">
        <v>0</v>
      </c>
      <c r="E11" s="64">
        <v>0</v>
      </c>
      <c r="F11" s="64">
        <v>10</v>
      </c>
      <c r="G11" s="104">
        <f t="shared" si="0"/>
        <v>10</v>
      </c>
      <c r="H11" s="110">
        <f>G11/G30</f>
        <v>7.7555452148286028E-4</v>
      </c>
    </row>
    <row r="12" spans="1:8" ht="12.75" customHeight="1">
      <c r="A12" s="145">
        <v>6</v>
      </c>
      <c r="B12" s="137" t="s">
        <v>73</v>
      </c>
      <c r="C12" s="129">
        <v>0</v>
      </c>
      <c r="D12" s="58">
        <v>0</v>
      </c>
      <c r="E12" s="59">
        <v>3</v>
      </c>
      <c r="F12" s="59">
        <f>680+1</f>
        <v>681</v>
      </c>
      <c r="G12" s="104">
        <f t="shared" si="0"/>
        <v>684</v>
      </c>
      <c r="H12" s="110">
        <f>G12/G30</f>
        <v>5.3047929269427641E-2</v>
      </c>
    </row>
    <row r="13" spans="1:8" ht="24" customHeight="1">
      <c r="A13" s="145">
        <v>7</v>
      </c>
      <c r="B13" s="137" t="s">
        <v>74</v>
      </c>
      <c r="C13" s="129">
        <v>0</v>
      </c>
      <c r="D13" s="58">
        <v>0</v>
      </c>
      <c r="E13" s="59">
        <v>9</v>
      </c>
      <c r="F13" s="59">
        <v>2110</v>
      </c>
      <c r="G13" s="104">
        <f t="shared" si="0"/>
        <v>2119</v>
      </c>
      <c r="H13" s="110">
        <f>G13/G30</f>
        <v>0.16434000310221808</v>
      </c>
    </row>
    <row r="14" spans="1:8" ht="14.25" customHeight="1">
      <c r="A14" s="145">
        <v>8</v>
      </c>
      <c r="B14" s="137" t="s">
        <v>75</v>
      </c>
      <c r="C14" s="129">
        <v>0</v>
      </c>
      <c r="D14" s="58">
        <v>0</v>
      </c>
      <c r="E14" s="58">
        <v>0</v>
      </c>
      <c r="F14" s="59">
        <v>307</v>
      </c>
      <c r="G14" s="104">
        <f t="shared" si="0"/>
        <v>307</v>
      </c>
      <c r="H14" s="110">
        <f>G14/G30</f>
        <v>2.3809523809523808E-2</v>
      </c>
    </row>
    <row r="15" spans="1:8" ht="24" customHeight="1">
      <c r="A15" s="145">
        <v>9</v>
      </c>
      <c r="B15" s="137" t="s">
        <v>76</v>
      </c>
      <c r="C15" s="128">
        <v>0</v>
      </c>
      <c r="D15" s="63">
        <v>0</v>
      </c>
      <c r="E15" s="58">
        <v>153</v>
      </c>
      <c r="F15" s="64">
        <f>939+3</f>
        <v>942</v>
      </c>
      <c r="G15" s="104">
        <f t="shared" si="0"/>
        <v>1095</v>
      </c>
      <c r="H15" s="110">
        <f>G15/G30</f>
        <v>8.4923220102373201E-2</v>
      </c>
    </row>
    <row r="16" spans="1:8" ht="15" customHeight="1">
      <c r="A16" s="145">
        <v>10</v>
      </c>
      <c r="B16" s="137" t="s">
        <v>77</v>
      </c>
      <c r="C16" s="128">
        <v>0</v>
      </c>
      <c r="D16" s="63">
        <v>0</v>
      </c>
      <c r="E16" s="64">
        <v>0</v>
      </c>
      <c r="F16" s="64">
        <v>318</v>
      </c>
      <c r="G16" s="103">
        <f t="shared" si="0"/>
        <v>318</v>
      </c>
      <c r="H16" s="110">
        <f>G16/G30</f>
        <v>2.4662633783154957E-2</v>
      </c>
    </row>
    <row r="17" spans="1:8" ht="15" customHeight="1">
      <c r="A17" s="145">
        <v>11</v>
      </c>
      <c r="B17" s="137" t="s">
        <v>78</v>
      </c>
      <c r="C17" s="128">
        <v>0</v>
      </c>
      <c r="D17" s="63">
        <v>0</v>
      </c>
      <c r="E17" s="64">
        <v>0</v>
      </c>
      <c r="F17" s="59">
        <f>892+4</f>
        <v>896</v>
      </c>
      <c r="G17" s="104">
        <f t="shared" si="0"/>
        <v>896</v>
      </c>
      <c r="H17" s="110">
        <f>G17/G30</f>
        <v>6.9489685124864281E-2</v>
      </c>
    </row>
    <row r="18" spans="1:8" ht="15" customHeight="1">
      <c r="A18" s="145">
        <v>12</v>
      </c>
      <c r="B18" s="137" t="s">
        <v>79</v>
      </c>
      <c r="C18" s="128">
        <v>0</v>
      </c>
      <c r="D18" s="63">
        <v>0</v>
      </c>
      <c r="E18" s="64">
        <v>1</v>
      </c>
      <c r="F18" s="64">
        <v>94</v>
      </c>
      <c r="G18" s="103">
        <f t="shared" si="0"/>
        <v>95</v>
      </c>
      <c r="H18" s="110">
        <f>G18/G30</f>
        <v>7.367767954087172E-3</v>
      </c>
    </row>
    <row r="19" spans="1:8" ht="15" customHeight="1">
      <c r="A19" s="145">
        <v>13</v>
      </c>
      <c r="B19" s="137" t="s">
        <v>80</v>
      </c>
      <c r="C19" s="128">
        <v>0</v>
      </c>
      <c r="D19" s="63">
        <v>0</v>
      </c>
      <c r="E19" s="64">
        <v>0</v>
      </c>
      <c r="F19" s="64">
        <v>708</v>
      </c>
      <c r="G19" s="103">
        <f t="shared" si="0"/>
        <v>708</v>
      </c>
      <c r="H19" s="110">
        <f>G19/G30</f>
        <v>5.4909260120986507E-2</v>
      </c>
    </row>
    <row r="20" spans="1:8" ht="14.25" customHeight="1">
      <c r="A20" s="145">
        <v>14</v>
      </c>
      <c r="B20" s="137" t="s">
        <v>81</v>
      </c>
      <c r="C20" s="128">
        <v>0</v>
      </c>
      <c r="D20" s="63">
        <v>0</v>
      </c>
      <c r="E20" s="64">
        <v>2</v>
      </c>
      <c r="F20" s="64">
        <v>347</v>
      </c>
      <c r="G20" s="103">
        <f t="shared" si="0"/>
        <v>349</v>
      </c>
      <c r="H20" s="110">
        <f>G20/G30</f>
        <v>2.7066852799751823E-2</v>
      </c>
    </row>
    <row r="21" spans="1:8" ht="13.5" customHeight="1">
      <c r="A21" s="146">
        <v>15</v>
      </c>
      <c r="B21" s="137" t="s">
        <v>82</v>
      </c>
      <c r="C21" s="128">
        <v>0</v>
      </c>
      <c r="D21" s="63">
        <v>0</v>
      </c>
      <c r="E21" s="64">
        <v>0</v>
      </c>
      <c r="F21" s="64">
        <v>1608</v>
      </c>
      <c r="G21" s="103">
        <f t="shared" si="0"/>
        <v>1608</v>
      </c>
      <c r="H21" s="110">
        <f>G21/G30</f>
        <v>0.12470916705444393</v>
      </c>
    </row>
    <row r="22" spans="1:8" ht="15" customHeight="1">
      <c r="A22" s="145">
        <v>16</v>
      </c>
      <c r="B22" s="137" t="s">
        <v>83</v>
      </c>
      <c r="C22" s="128">
        <v>0</v>
      </c>
      <c r="D22" s="63">
        <v>0</v>
      </c>
      <c r="E22" s="64">
        <v>1</v>
      </c>
      <c r="F22" s="64">
        <f>2030+2</f>
        <v>2032</v>
      </c>
      <c r="G22" s="104">
        <f t="shared" si="0"/>
        <v>2033</v>
      </c>
      <c r="H22" s="110">
        <f>G22/G30</f>
        <v>0.15767023421746548</v>
      </c>
    </row>
    <row r="23" spans="1:8" ht="24" customHeight="1">
      <c r="A23" s="146">
        <v>17</v>
      </c>
      <c r="B23" s="137" t="s">
        <v>84</v>
      </c>
      <c r="C23" s="128">
        <v>0</v>
      </c>
      <c r="D23" s="63">
        <v>0</v>
      </c>
      <c r="E23" s="64">
        <v>0</v>
      </c>
      <c r="F23" s="64">
        <v>259</v>
      </c>
      <c r="G23" s="103">
        <f t="shared" si="0"/>
        <v>259</v>
      </c>
      <c r="H23" s="110">
        <f>G23/G30</f>
        <v>2.0086862106406079E-2</v>
      </c>
    </row>
    <row r="24" spans="1:8" ht="17.25" customHeight="1">
      <c r="A24" s="145">
        <v>18</v>
      </c>
      <c r="B24" s="138" t="s">
        <v>85</v>
      </c>
      <c r="C24" s="128">
        <v>0</v>
      </c>
      <c r="D24" s="63">
        <v>0</v>
      </c>
      <c r="E24" s="64">
        <v>0</v>
      </c>
      <c r="F24" s="64">
        <v>195</v>
      </c>
      <c r="G24" s="103">
        <f t="shared" si="0"/>
        <v>195</v>
      </c>
      <c r="H24" s="110">
        <f>G24/G30</f>
        <v>1.5123313168915775E-2</v>
      </c>
    </row>
    <row r="25" spans="1:8" ht="15.75" customHeight="1">
      <c r="A25" s="145">
        <v>19</v>
      </c>
      <c r="B25" s="138" t="s">
        <v>86</v>
      </c>
      <c r="C25" s="128">
        <v>0</v>
      </c>
      <c r="D25" s="63">
        <v>0</v>
      </c>
      <c r="E25" s="64">
        <v>0</v>
      </c>
      <c r="F25" s="64">
        <v>397</v>
      </c>
      <c r="G25" s="103">
        <f t="shared" si="0"/>
        <v>397</v>
      </c>
      <c r="H25" s="110">
        <f>G25/G30</f>
        <v>3.0789514502869552E-2</v>
      </c>
    </row>
    <row r="26" spans="1:8" ht="24" customHeight="1">
      <c r="A26" s="146">
        <v>20</v>
      </c>
      <c r="B26" s="138" t="s">
        <v>87</v>
      </c>
      <c r="C26" s="128">
        <v>0</v>
      </c>
      <c r="D26" s="63">
        <v>0</v>
      </c>
      <c r="E26" s="64">
        <v>0</v>
      </c>
      <c r="F26" s="64">
        <v>14</v>
      </c>
      <c r="G26" s="106">
        <f t="shared" si="0"/>
        <v>14</v>
      </c>
      <c r="H26" s="110">
        <f>G26/G30</f>
        <v>1.0857763300760044E-3</v>
      </c>
    </row>
    <row r="27" spans="1:8" ht="16.5" customHeight="1">
      <c r="A27" s="145">
        <v>21</v>
      </c>
      <c r="B27" s="138" t="s">
        <v>88</v>
      </c>
      <c r="C27" s="128">
        <v>0</v>
      </c>
      <c r="D27" s="63">
        <v>0</v>
      </c>
      <c r="E27" s="64">
        <v>0</v>
      </c>
      <c r="F27" s="64">
        <f>18+1</f>
        <v>19</v>
      </c>
      <c r="G27" s="103">
        <f t="shared" si="0"/>
        <v>19</v>
      </c>
      <c r="H27" s="110">
        <f>G27/G30</f>
        <v>1.4735535908174345E-3</v>
      </c>
    </row>
    <row r="28" spans="1:8" ht="14.25" customHeight="1">
      <c r="A28" s="145">
        <v>22</v>
      </c>
      <c r="B28" s="139" t="s">
        <v>89</v>
      </c>
      <c r="C28" s="128">
        <v>0</v>
      </c>
      <c r="D28" s="63">
        <v>0</v>
      </c>
      <c r="E28" s="64">
        <v>0</v>
      </c>
      <c r="F28" s="64">
        <f>889+13</f>
        <v>902</v>
      </c>
      <c r="G28" s="103">
        <f t="shared" si="0"/>
        <v>902</v>
      </c>
      <c r="H28" s="110">
        <f>G28/G30</f>
        <v>6.9955017837753999E-2</v>
      </c>
    </row>
    <row r="29" spans="1:8" ht="15" customHeight="1" thickBot="1">
      <c r="A29" s="145">
        <v>23</v>
      </c>
      <c r="B29" s="140" t="s">
        <v>90</v>
      </c>
      <c r="C29" s="130">
        <v>0</v>
      </c>
      <c r="D29" s="68">
        <v>0</v>
      </c>
      <c r="E29" s="69">
        <v>0</v>
      </c>
      <c r="F29" s="69">
        <v>0</v>
      </c>
      <c r="G29" s="106">
        <f t="shared" si="0"/>
        <v>0</v>
      </c>
      <c r="H29" s="157">
        <f>G29/G30</f>
        <v>0</v>
      </c>
    </row>
    <row r="30" spans="1:8" ht="24" customHeight="1" thickBot="1">
      <c r="A30" s="147"/>
      <c r="B30" s="132" t="s">
        <v>6</v>
      </c>
      <c r="C30" s="131">
        <f t="shared" ref="C30:H30" si="1">SUM(C7:C29)</f>
        <v>7</v>
      </c>
      <c r="D30" s="70">
        <f t="shared" si="1"/>
        <v>0</v>
      </c>
      <c r="E30" s="70">
        <f t="shared" si="1"/>
        <v>170</v>
      </c>
      <c r="F30" s="70">
        <f t="shared" si="1"/>
        <v>12717</v>
      </c>
      <c r="G30" s="71">
        <f t="shared" si="1"/>
        <v>12894</v>
      </c>
      <c r="H30" s="159">
        <f t="shared" si="1"/>
        <v>1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295" t="s">
        <v>131</v>
      </c>
      <c r="B32" s="39"/>
      <c r="F32" s="87" t="s">
        <v>12</v>
      </c>
    </row>
    <row r="33" spans="1:6">
      <c r="A33" s="531">
        <v>43423</v>
      </c>
      <c r="B33" s="531"/>
      <c r="F33" s="87" t="s">
        <v>91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70866141732283472" right="0.70866141732283472" top="0.35433070866141736" bottom="0.15748031496062992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G30" sqref="G30"/>
    </sheetView>
  </sheetViews>
  <sheetFormatPr defaultRowHeight="12.75"/>
  <cols>
    <col min="1" max="1" width="5.42578125" customWidth="1"/>
    <col min="2" max="2" width="53.28515625" customWidth="1"/>
    <col min="3" max="7" width="12.7109375" customWidth="1"/>
    <col min="8" max="8" width="11.140625" customWidth="1"/>
  </cols>
  <sheetData>
    <row r="1" spans="1:8">
      <c r="A1" s="122" t="s">
        <v>111</v>
      </c>
      <c r="B1" s="24"/>
    </row>
    <row r="2" spans="1:8" ht="30.75" customHeight="1">
      <c r="A2" s="541" t="s">
        <v>134</v>
      </c>
      <c r="B2" s="541"/>
      <c r="C2" s="541"/>
      <c r="D2" s="541"/>
      <c r="E2" s="541"/>
      <c r="F2" s="541"/>
      <c r="G2" s="541"/>
    </row>
    <row r="3" spans="1:8" ht="11.25" customHeight="1" thickBot="1">
      <c r="A3" s="502"/>
      <c r="B3" s="502"/>
      <c r="C3" s="502"/>
    </row>
    <row r="4" spans="1:8" ht="14.25" customHeight="1">
      <c r="A4" s="142"/>
      <c r="B4" s="133"/>
      <c r="C4" s="516" t="s">
        <v>60</v>
      </c>
      <c r="D4" s="505"/>
      <c r="E4" s="505"/>
      <c r="F4" s="505"/>
      <c r="G4" s="505"/>
      <c r="H4" s="506"/>
    </row>
    <row r="5" spans="1:8" ht="13.5" customHeight="1">
      <c r="A5" s="143" t="s">
        <v>61</v>
      </c>
      <c r="B5" s="134" t="s">
        <v>62</v>
      </c>
      <c r="C5" s="517" t="s">
        <v>63</v>
      </c>
      <c r="D5" s="508"/>
      <c r="E5" s="509" t="s">
        <v>64</v>
      </c>
      <c r="F5" s="509"/>
      <c r="G5" s="510" t="s">
        <v>6</v>
      </c>
      <c r="H5" s="539" t="s">
        <v>113</v>
      </c>
    </row>
    <row r="6" spans="1:8" ht="24" customHeight="1" thickBot="1">
      <c r="A6" s="135"/>
      <c r="B6" s="135"/>
      <c r="C6" s="150" t="s">
        <v>65</v>
      </c>
      <c r="D6" s="105" t="s">
        <v>66</v>
      </c>
      <c r="E6" s="105" t="s">
        <v>66</v>
      </c>
      <c r="F6" s="105" t="s">
        <v>67</v>
      </c>
      <c r="G6" s="538"/>
      <c r="H6" s="540"/>
    </row>
    <row r="7" spans="1:8" ht="14.25" customHeight="1">
      <c r="A7" s="144">
        <v>1</v>
      </c>
      <c r="B7" s="136" t="s">
        <v>68</v>
      </c>
      <c r="C7" s="127">
        <v>0</v>
      </c>
      <c r="D7" s="82">
        <v>0</v>
      </c>
      <c r="E7" s="92">
        <v>0</v>
      </c>
      <c r="F7" s="92">
        <v>85</v>
      </c>
      <c r="G7" s="82">
        <f>SUM(C7+D7+E7+F7)</f>
        <v>85</v>
      </c>
      <c r="H7" s="149">
        <f>G7/G30</f>
        <v>8.0385852090032149E-3</v>
      </c>
    </row>
    <row r="8" spans="1:8" ht="14.25" customHeight="1">
      <c r="A8" s="145">
        <v>2</v>
      </c>
      <c r="B8" s="137" t="s">
        <v>69</v>
      </c>
      <c r="C8" s="128">
        <v>0</v>
      </c>
      <c r="D8" s="63">
        <v>0</v>
      </c>
      <c r="E8" s="64">
        <v>0</v>
      </c>
      <c r="F8" s="64">
        <v>19</v>
      </c>
      <c r="G8" s="63">
        <f>SUM(C8+D8+E8+F8)</f>
        <v>19</v>
      </c>
      <c r="H8" s="110">
        <f>G8/G30</f>
        <v>1.796860223188954E-3</v>
      </c>
    </row>
    <row r="9" spans="1:8" ht="12.75" customHeight="1">
      <c r="A9" s="145">
        <v>3</v>
      </c>
      <c r="B9" s="137" t="s">
        <v>70</v>
      </c>
      <c r="C9" s="128">
        <v>14</v>
      </c>
      <c r="D9" s="63">
        <v>0</v>
      </c>
      <c r="E9" s="64">
        <v>1</v>
      </c>
      <c r="F9" s="64">
        <v>825</v>
      </c>
      <c r="G9" s="63">
        <f t="shared" ref="G9:G29" si="0">SUM(C9+D9+E9+F9)</f>
        <v>840</v>
      </c>
      <c r="H9" s="110">
        <f>G9/G30</f>
        <v>7.9440136183090593E-2</v>
      </c>
    </row>
    <row r="10" spans="1:8" ht="15" customHeight="1">
      <c r="A10" s="145">
        <v>4</v>
      </c>
      <c r="B10" s="137" t="s">
        <v>71</v>
      </c>
      <c r="C10" s="129">
        <v>0</v>
      </c>
      <c r="D10" s="66">
        <v>0</v>
      </c>
      <c r="E10" s="67">
        <v>0</v>
      </c>
      <c r="F10" s="59">
        <v>3</v>
      </c>
      <c r="G10" s="58">
        <f t="shared" si="0"/>
        <v>3</v>
      </c>
      <c r="H10" s="110">
        <f>G10/G30</f>
        <v>2.8371477208246644E-4</v>
      </c>
    </row>
    <row r="11" spans="1:8" ht="24" customHeight="1">
      <c r="A11" s="145">
        <v>5</v>
      </c>
      <c r="B11" s="137" t="s">
        <v>72</v>
      </c>
      <c r="C11" s="128">
        <v>0</v>
      </c>
      <c r="D11" s="63">
        <v>0</v>
      </c>
      <c r="E11" s="64">
        <v>0</v>
      </c>
      <c r="F11" s="64">
        <v>9</v>
      </c>
      <c r="G11" s="58">
        <f t="shared" si="0"/>
        <v>9</v>
      </c>
      <c r="H11" s="110">
        <f>G11/G30</f>
        <v>8.5114431624739933E-4</v>
      </c>
    </row>
    <row r="12" spans="1:8" ht="12.75" customHeight="1">
      <c r="A12" s="145">
        <v>6</v>
      </c>
      <c r="B12" s="137" t="s">
        <v>73</v>
      </c>
      <c r="C12" s="129">
        <v>0</v>
      </c>
      <c r="D12" s="58">
        <v>0</v>
      </c>
      <c r="E12" s="59">
        <v>1</v>
      </c>
      <c r="F12" s="59">
        <f>671+1</f>
        <v>672</v>
      </c>
      <c r="G12" s="58">
        <f t="shared" si="0"/>
        <v>673</v>
      </c>
      <c r="H12" s="110">
        <f>G12/G30</f>
        <v>6.3646680537166642E-2</v>
      </c>
    </row>
    <row r="13" spans="1:8" ht="24" customHeight="1">
      <c r="A13" s="145">
        <v>7</v>
      </c>
      <c r="B13" s="137" t="s">
        <v>74</v>
      </c>
      <c r="C13" s="129">
        <v>0</v>
      </c>
      <c r="D13" s="58">
        <v>0</v>
      </c>
      <c r="E13" s="59">
        <v>7</v>
      </c>
      <c r="F13" s="59">
        <v>2232</v>
      </c>
      <c r="G13" s="58">
        <f t="shared" si="0"/>
        <v>2239</v>
      </c>
      <c r="H13" s="110">
        <f>G13/G30</f>
        <v>0.21174579156421411</v>
      </c>
    </row>
    <row r="14" spans="1:8" ht="14.25" customHeight="1">
      <c r="A14" s="145">
        <v>8</v>
      </c>
      <c r="B14" s="137" t="s">
        <v>75</v>
      </c>
      <c r="C14" s="129">
        <v>0</v>
      </c>
      <c r="D14" s="58">
        <v>0</v>
      </c>
      <c r="E14" s="58">
        <v>0</v>
      </c>
      <c r="F14" s="59">
        <v>330</v>
      </c>
      <c r="G14" s="58">
        <f t="shared" si="0"/>
        <v>330</v>
      </c>
      <c r="H14" s="110">
        <f>G14/G30</f>
        <v>3.1208624929071307E-2</v>
      </c>
    </row>
    <row r="15" spans="1:8" ht="24" customHeight="1">
      <c r="A15" s="145">
        <v>9</v>
      </c>
      <c r="B15" s="137" t="s">
        <v>76</v>
      </c>
      <c r="C15" s="128">
        <v>0</v>
      </c>
      <c r="D15" s="63">
        <v>0</v>
      </c>
      <c r="E15" s="58">
        <v>356</v>
      </c>
      <c r="F15" s="64">
        <f>1026+3</f>
        <v>1029</v>
      </c>
      <c r="G15" s="58">
        <f t="shared" si="0"/>
        <v>1385</v>
      </c>
      <c r="H15" s="110">
        <f>G15/G30</f>
        <v>0.13098165311140533</v>
      </c>
    </row>
    <row r="16" spans="1:8" ht="15" customHeight="1">
      <c r="A16" s="145">
        <v>10</v>
      </c>
      <c r="B16" s="137" t="s">
        <v>77</v>
      </c>
      <c r="C16" s="128">
        <v>0</v>
      </c>
      <c r="D16" s="63">
        <v>0</v>
      </c>
      <c r="E16" s="64">
        <v>0</v>
      </c>
      <c r="F16" s="64">
        <v>280</v>
      </c>
      <c r="G16" s="63">
        <f t="shared" si="0"/>
        <v>280</v>
      </c>
      <c r="H16" s="110">
        <f>G16/G30</f>
        <v>2.6480045394363532E-2</v>
      </c>
    </row>
    <row r="17" spans="1:8" ht="15" customHeight="1">
      <c r="A17" s="145">
        <v>11</v>
      </c>
      <c r="B17" s="137" t="s">
        <v>78</v>
      </c>
      <c r="C17" s="128">
        <v>0</v>
      </c>
      <c r="D17" s="63">
        <v>0</v>
      </c>
      <c r="E17" s="64">
        <v>0</v>
      </c>
      <c r="F17" s="59">
        <f>1013+4</f>
        <v>1017</v>
      </c>
      <c r="G17" s="58">
        <f t="shared" si="0"/>
        <v>1017</v>
      </c>
      <c r="H17" s="110">
        <f>G17/G30</f>
        <v>9.6179307735956121E-2</v>
      </c>
    </row>
    <row r="18" spans="1:8" ht="15" customHeight="1">
      <c r="A18" s="145">
        <v>12</v>
      </c>
      <c r="B18" s="137" t="s">
        <v>79</v>
      </c>
      <c r="C18" s="128">
        <v>0</v>
      </c>
      <c r="D18" s="63">
        <v>0</v>
      </c>
      <c r="E18" s="64">
        <v>2</v>
      </c>
      <c r="F18" s="64">
        <f>97+1</f>
        <v>98</v>
      </c>
      <c r="G18" s="63">
        <f t="shared" si="0"/>
        <v>100</v>
      </c>
      <c r="H18" s="110">
        <f>G18/G30</f>
        <v>9.4571590694155477E-3</v>
      </c>
    </row>
    <row r="19" spans="1:8" ht="15" customHeight="1">
      <c r="A19" s="145">
        <v>13</v>
      </c>
      <c r="B19" s="137" t="s">
        <v>80</v>
      </c>
      <c r="C19" s="128">
        <v>0</v>
      </c>
      <c r="D19" s="63">
        <v>0</v>
      </c>
      <c r="E19" s="64">
        <v>0</v>
      </c>
      <c r="F19" s="64">
        <v>716</v>
      </c>
      <c r="G19" s="63">
        <f t="shared" si="0"/>
        <v>716</v>
      </c>
      <c r="H19" s="110">
        <f>G19/G30</f>
        <v>6.7713258937015325E-2</v>
      </c>
    </row>
    <row r="20" spans="1:8" ht="14.25" customHeight="1">
      <c r="A20" s="145">
        <v>14</v>
      </c>
      <c r="B20" s="137" t="s">
        <v>81</v>
      </c>
      <c r="C20" s="128">
        <v>0</v>
      </c>
      <c r="D20" s="63">
        <v>0</v>
      </c>
      <c r="E20" s="64">
        <v>2</v>
      </c>
      <c r="F20" s="64">
        <f>354+1</f>
        <v>355</v>
      </c>
      <c r="G20" s="63">
        <f t="shared" si="0"/>
        <v>357</v>
      </c>
      <c r="H20" s="110">
        <f>G20/G30</f>
        <v>3.3762057877813507E-2</v>
      </c>
    </row>
    <row r="21" spans="1:8" ht="13.5" customHeight="1">
      <c r="A21" s="146">
        <v>15</v>
      </c>
      <c r="B21" s="137" t="s">
        <v>82</v>
      </c>
      <c r="C21" s="128">
        <v>0</v>
      </c>
      <c r="D21" s="63">
        <v>0</v>
      </c>
      <c r="E21" s="64">
        <v>0</v>
      </c>
      <c r="F21" s="64">
        <v>484</v>
      </c>
      <c r="G21" s="63">
        <f t="shared" si="0"/>
        <v>484</v>
      </c>
      <c r="H21" s="110">
        <f>G21/G30</f>
        <v>4.5772649895971247E-2</v>
      </c>
    </row>
    <row r="22" spans="1:8" ht="15" customHeight="1">
      <c r="A22" s="145">
        <v>16</v>
      </c>
      <c r="B22" s="137" t="s">
        <v>83</v>
      </c>
      <c r="C22" s="128">
        <v>0</v>
      </c>
      <c r="D22" s="63">
        <v>0</v>
      </c>
      <c r="E22" s="64">
        <v>0</v>
      </c>
      <c r="F22" s="64">
        <f>500+2</f>
        <v>502</v>
      </c>
      <c r="G22" s="58">
        <f t="shared" si="0"/>
        <v>502</v>
      </c>
      <c r="H22" s="110">
        <f>G22/G30</f>
        <v>4.747493852846605E-2</v>
      </c>
    </row>
    <row r="23" spans="1:8" ht="24" customHeight="1">
      <c r="A23" s="146">
        <v>17</v>
      </c>
      <c r="B23" s="137" t="s">
        <v>84</v>
      </c>
      <c r="C23" s="128">
        <v>0</v>
      </c>
      <c r="D23" s="63">
        <v>0</v>
      </c>
      <c r="E23" s="64">
        <v>0</v>
      </c>
      <c r="F23" s="64">
        <v>245</v>
      </c>
      <c r="G23" s="63">
        <f t="shared" si="0"/>
        <v>245</v>
      </c>
      <c r="H23" s="110">
        <f>G23/G30</f>
        <v>2.3170039720068092E-2</v>
      </c>
    </row>
    <row r="24" spans="1:8" ht="17.25" customHeight="1">
      <c r="A24" s="145">
        <v>18</v>
      </c>
      <c r="B24" s="138" t="s">
        <v>85</v>
      </c>
      <c r="C24" s="128">
        <v>0</v>
      </c>
      <c r="D24" s="63">
        <v>0</v>
      </c>
      <c r="E24" s="64">
        <v>0</v>
      </c>
      <c r="F24" s="64">
        <v>185</v>
      </c>
      <c r="G24" s="63">
        <f t="shared" si="0"/>
        <v>185</v>
      </c>
      <c r="H24" s="110">
        <f>G24/G30</f>
        <v>1.7495744278418764E-2</v>
      </c>
    </row>
    <row r="25" spans="1:8" ht="15.75" customHeight="1">
      <c r="A25" s="145">
        <v>19</v>
      </c>
      <c r="B25" s="138" t="s">
        <v>86</v>
      </c>
      <c r="C25" s="128">
        <v>0</v>
      </c>
      <c r="D25" s="63">
        <v>0</v>
      </c>
      <c r="E25" s="64">
        <v>2</v>
      </c>
      <c r="F25" s="64">
        <v>258</v>
      </c>
      <c r="G25" s="63">
        <f t="shared" si="0"/>
        <v>260</v>
      </c>
      <c r="H25" s="110">
        <f>G25/G30</f>
        <v>2.4588613580480423E-2</v>
      </c>
    </row>
    <row r="26" spans="1:8" ht="24" customHeight="1">
      <c r="A26" s="146">
        <v>20</v>
      </c>
      <c r="B26" s="138" t="s">
        <v>87</v>
      </c>
      <c r="C26" s="128">
        <v>0</v>
      </c>
      <c r="D26" s="63">
        <v>0</v>
      </c>
      <c r="E26" s="64">
        <v>0</v>
      </c>
      <c r="F26" s="64">
        <v>14</v>
      </c>
      <c r="G26" s="68">
        <f t="shared" si="0"/>
        <v>14</v>
      </c>
      <c r="H26" s="110">
        <f>G26/G30</f>
        <v>1.3240022697181767E-3</v>
      </c>
    </row>
    <row r="27" spans="1:8" ht="16.5" customHeight="1">
      <c r="A27" s="145">
        <v>21</v>
      </c>
      <c r="B27" s="138" t="s">
        <v>88</v>
      </c>
      <c r="C27" s="128">
        <v>0</v>
      </c>
      <c r="D27" s="63">
        <v>0</v>
      </c>
      <c r="E27" s="64">
        <v>0</v>
      </c>
      <c r="F27" s="64">
        <f>17+1</f>
        <v>18</v>
      </c>
      <c r="G27" s="63">
        <f t="shared" si="0"/>
        <v>18</v>
      </c>
      <c r="H27" s="110">
        <f>G27/G30</f>
        <v>1.7022886324947987E-3</v>
      </c>
    </row>
    <row r="28" spans="1:8" ht="14.25" customHeight="1">
      <c r="A28" s="145">
        <v>22</v>
      </c>
      <c r="B28" s="139" t="s">
        <v>89</v>
      </c>
      <c r="C28" s="128">
        <v>0</v>
      </c>
      <c r="D28" s="63">
        <v>0</v>
      </c>
      <c r="E28" s="64">
        <v>0</v>
      </c>
      <c r="F28" s="64">
        <f>800+11</f>
        <v>811</v>
      </c>
      <c r="G28" s="63">
        <f t="shared" si="0"/>
        <v>811</v>
      </c>
      <c r="H28" s="110">
        <f>G28/G30</f>
        <v>7.6697560052960093E-2</v>
      </c>
    </row>
    <row r="29" spans="1:8" ht="15" customHeight="1" thickBot="1">
      <c r="A29" s="147">
        <v>23</v>
      </c>
      <c r="B29" s="164" t="s">
        <v>90</v>
      </c>
      <c r="C29" s="160">
        <v>0</v>
      </c>
      <c r="D29" s="93">
        <v>0</v>
      </c>
      <c r="E29" s="100">
        <v>0</v>
      </c>
      <c r="F29" s="100">
        <v>2</v>
      </c>
      <c r="G29" s="93">
        <f t="shared" si="0"/>
        <v>2</v>
      </c>
      <c r="H29" s="157">
        <f>G29/G30</f>
        <v>1.8914318138831096E-4</v>
      </c>
    </row>
    <row r="30" spans="1:8" ht="24" customHeight="1" thickBot="1">
      <c r="A30" s="542" t="s">
        <v>6</v>
      </c>
      <c r="B30" s="542"/>
      <c r="C30" s="161">
        <f t="shared" ref="C30:H30" si="1">SUM(C7:C29)</f>
        <v>14</v>
      </c>
      <c r="D30" s="161">
        <f t="shared" si="1"/>
        <v>0</v>
      </c>
      <c r="E30" s="98">
        <f t="shared" si="1"/>
        <v>371</v>
      </c>
      <c r="F30" s="98">
        <f>SUM(F7:F29)</f>
        <v>10189</v>
      </c>
      <c r="G30" s="99">
        <f t="shared" si="1"/>
        <v>10574</v>
      </c>
      <c r="H30" s="159">
        <f t="shared" si="1"/>
        <v>1.0000000000000002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9"/>
      <c r="B32" s="39"/>
      <c r="F32" s="87" t="s">
        <v>12</v>
      </c>
    </row>
    <row r="33" spans="1:6">
      <c r="A33" s="537">
        <v>43465</v>
      </c>
      <c r="B33" s="537"/>
      <c r="F33" s="87" t="s">
        <v>91</v>
      </c>
    </row>
    <row r="34" spans="1:6">
      <c r="B34" s="101"/>
    </row>
  </sheetData>
  <mergeCells count="9">
    <mergeCell ref="H5:H6"/>
    <mergeCell ref="C4:H4"/>
    <mergeCell ref="A33:B33"/>
    <mergeCell ref="A30:B30"/>
    <mergeCell ref="A2:G2"/>
    <mergeCell ref="A3:C3"/>
    <mergeCell ref="C5:D5"/>
    <mergeCell ref="E5:F5"/>
    <mergeCell ref="G5:G6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topLeftCell="A11" workbookViewId="0">
      <selection activeCell="N28" sqref="N28"/>
    </sheetView>
  </sheetViews>
  <sheetFormatPr defaultRowHeight="12.75"/>
  <cols>
    <col min="1" max="1" width="5.42578125" customWidth="1"/>
    <col min="2" max="2" width="53.42578125" customWidth="1"/>
    <col min="3" max="7" width="12.7109375" customWidth="1"/>
    <col min="8" max="8" width="12.28515625" customWidth="1"/>
  </cols>
  <sheetData>
    <row r="1" spans="1:8">
      <c r="A1" s="122" t="s">
        <v>112</v>
      </c>
      <c r="B1" s="24"/>
    </row>
    <row r="2" spans="1:8" ht="30.75" customHeight="1">
      <c r="A2" s="541" t="s">
        <v>135</v>
      </c>
      <c r="B2" s="541"/>
      <c r="C2" s="541"/>
      <c r="D2" s="541"/>
      <c r="E2" s="541"/>
      <c r="F2" s="541"/>
      <c r="G2" s="541"/>
    </row>
    <row r="3" spans="1:8" ht="11.25" customHeight="1" thickBot="1">
      <c r="A3" s="502"/>
      <c r="B3" s="502"/>
      <c r="C3" s="502"/>
    </row>
    <row r="4" spans="1:8" ht="14.25" customHeight="1">
      <c r="A4" s="142"/>
      <c r="B4" s="133"/>
      <c r="C4" s="516" t="s">
        <v>60</v>
      </c>
      <c r="D4" s="505"/>
      <c r="E4" s="505"/>
      <c r="F4" s="505"/>
      <c r="G4" s="505"/>
      <c r="H4" s="506"/>
    </row>
    <row r="5" spans="1:8" ht="13.5" customHeight="1">
      <c r="A5" s="143" t="s">
        <v>61</v>
      </c>
      <c r="B5" s="134" t="s">
        <v>62</v>
      </c>
      <c r="C5" s="517" t="s">
        <v>63</v>
      </c>
      <c r="D5" s="508"/>
      <c r="E5" s="509" t="s">
        <v>64</v>
      </c>
      <c r="F5" s="509"/>
      <c r="G5" s="510" t="s">
        <v>6</v>
      </c>
      <c r="H5" s="539" t="s">
        <v>113</v>
      </c>
    </row>
    <row r="6" spans="1:8" ht="24" customHeight="1" thickBot="1">
      <c r="A6" s="141"/>
      <c r="B6" s="135"/>
      <c r="C6" s="150" t="s">
        <v>65</v>
      </c>
      <c r="D6" s="105" t="s">
        <v>66</v>
      </c>
      <c r="E6" s="105" t="s">
        <v>66</v>
      </c>
      <c r="F6" s="105" t="s">
        <v>67</v>
      </c>
      <c r="G6" s="538"/>
      <c r="H6" s="540"/>
    </row>
    <row r="7" spans="1:8" ht="14.25" customHeight="1">
      <c r="A7" s="162">
        <v>1</v>
      </c>
      <c r="B7" s="136" t="s">
        <v>68</v>
      </c>
      <c r="C7" s="127">
        <v>0</v>
      </c>
      <c r="D7" s="82">
        <v>0</v>
      </c>
      <c r="E7" s="92">
        <v>0</v>
      </c>
      <c r="F7" s="92">
        <v>68</v>
      </c>
      <c r="G7" s="80">
        <f>SUM(C7+D7+E7+F7)</f>
        <v>68</v>
      </c>
      <c r="H7" s="109">
        <f>G7/G30</f>
        <v>3.3580246913580249E-3</v>
      </c>
    </row>
    <row r="8" spans="1:8" ht="14.25" customHeight="1">
      <c r="A8" s="145">
        <v>2</v>
      </c>
      <c r="B8" s="137" t="s">
        <v>69</v>
      </c>
      <c r="C8" s="128">
        <v>0</v>
      </c>
      <c r="D8" s="63">
        <v>0</v>
      </c>
      <c r="E8" s="64">
        <v>0</v>
      </c>
      <c r="F8" s="64">
        <v>25</v>
      </c>
      <c r="G8" s="103">
        <f>SUM(C8+D8+E8+F8)</f>
        <v>25</v>
      </c>
      <c r="H8" s="110">
        <f>G8/G30</f>
        <v>1.2345679012345679E-3</v>
      </c>
    </row>
    <row r="9" spans="1:8" ht="12.75" customHeight="1">
      <c r="A9" s="145">
        <v>3</v>
      </c>
      <c r="B9" s="137" t="s">
        <v>70</v>
      </c>
      <c r="C9" s="128">
        <v>22</v>
      </c>
      <c r="D9" s="63">
        <v>0</v>
      </c>
      <c r="E9" s="64">
        <v>6</v>
      </c>
      <c r="F9" s="64">
        <v>856</v>
      </c>
      <c r="G9" s="103">
        <f t="shared" ref="G9:G29" si="0">SUM(C9+D9+E9+F9)</f>
        <v>884</v>
      </c>
      <c r="H9" s="110">
        <f>G9/G30</f>
        <v>4.3654320987654323E-2</v>
      </c>
    </row>
    <row r="10" spans="1:8" ht="15" customHeight="1">
      <c r="A10" s="145">
        <v>4</v>
      </c>
      <c r="B10" s="137" t="s">
        <v>71</v>
      </c>
      <c r="C10" s="129">
        <v>0</v>
      </c>
      <c r="D10" s="66">
        <v>0</v>
      </c>
      <c r="E10" s="67">
        <v>0</v>
      </c>
      <c r="F10" s="59">
        <v>5</v>
      </c>
      <c r="G10" s="104">
        <f t="shared" si="0"/>
        <v>5</v>
      </c>
      <c r="H10" s="110">
        <f>G10/G30</f>
        <v>2.4691358024691359E-4</v>
      </c>
    </row>
    <row r="11" spans="1:8" ht="24" customHeight="1">
      <c r="A11" s="145">
        <v>5</v>
      </c>
      <c r="B11" s="137" t="s">
        <v>72</v>
      </c>
      <c r="C11" s="128">
        <v>0</v>
      </c>
      <c r="D11" s="63">
        <v>0</v>
      </c>
      <c r="E11" s="64">
        <v>0</v>
      </c>
      <c r="F11" s="64">
        <v>10</v>
      </c>
      <c r="G11" s="104">
        <f t="shared" si="0"/>
        <v>10</v>
      </c>
      <c r="H11" s="110">
        <f>G11/G30</f>
        <v>4.9382716049382717E-4</v>
      </c>
    </row>
    <row r="12" spans="1:8" ht="12.75" customHeight="1">
      <c r="A12" s="145">
        <v>6</v>
      </c>
      <c r="B12" s="137" t="s">
        <v>73</v>
      </c>
      <c r="C12" s="129">
        <v>0</v>
      </c>
      <c r="D12" s="58">
        <v>0</v>
      </c>
      <c r="E12" s="59">
        <v>5</v>
      </c>
      <c r="F12" s="59">
        <f>719+1</f>
        <v>720</v>
      </c>
      <c r="G12" s="104">
        <f t="shared" si="0"/>
        <v>725</v>
      </c>
      <c r="H12" s="110">
        <f>G12/G30</f>
        <v>3.580246913580247E-2</v>
      </c>
    </row>
    <row r="13" spans="1:8" ht="24" customHeight="1">
      <c r="A13" s="145">
        <v>7</v>
      </c>
      <c r="B13" s="137" t="s">
        <v>74</v>
      </c>
      <c r="C13" s="129">
        <v>0</v>
      </c>
      <c r="D13" s="58">
        <v>155</v>
      </c>
      <c r="E13" s="59">
        <v>44</v>
      </c>
      <c r="F13" s="59">
        <v>2722</v>
      </c>
      <c r="G13" s="104">
        <f t="shared" si="0"/>
        <v>2921</v>
      </c>
      <c r="H13" s="110">
        <f>G13/G30</f>
        <v>0.14424691358024691</v>
      </c>
    </row>
    <row r="14" spans="1:8" ht="14.25" customHeight="1">
      <c r="A14" s="145">
        <v>8</v>
      </c>
      <c r="B14" s="137" t="s">
        <v>75</v>
      </c>
      <c r="C14" s="129">
        <v>0</v>
      </c>
      <c r="D14" s="58">
        <v>16</v>
      </c>
      <c r="E14" s="58">
        <v>19</v>
      </c>
      <c r="F14" s="59">
        <v>963</v>
      </c>
      <c r="G14" s="104">
        <f t="shared" si="0"/>
        <v>998</v>
      </c>
      <c r="H14" s="110">
        <f>G14/G30</f>
        <v>4.9283950617283953E-2</v>
      </c>
    </row>
    <row r="15" spans="1:8" ht="24" customHeight="1">
      <c r="A15" s="145">
        <v>9</v>
      </c>
      <c r="B15" s="137" t="s">
        <v>76</v>
      </c>
      <c r="C15" s="128">
        <v>0</v>
      </c>
      <c r="D15" s="63">
        <v>1705</v>
      </c>
      <c r="E15" s="58">
        <v>4818</v>
      </c>
      <c r="F15" s="64">
        <f>2510+2</f>
        <v>2512</v>
      </c>
      <c r="G15" s="104">
        <f t="shared" si="0"/>
        <v>9035</v>
      </c>
      <c r="H15" s="110">
        <f>G15/G30</f>
        <v>0.44617283950617281</v>
      </c>
    </row>
    <row r="16" spans="1:8" ht="15" customHeight="1">
      <c r="A16" s="145">
        <v>10</v>
      </c>
      <c r="B16" s="137" t="s">
        <v>77</v>
      </c>
      <c r="C16" s="128">
        <v>0</v>
      </c>
      <c r="D16" s="63">
        <v>0</v>
      </c>
      <c r="E16" s="64">
        <v>0</v>
      </c>
      <c r="F16" s="64">
        <v>254</v>
      </c>
      <c r="G16" s="103">
        <f t="shared" si="0"/>
        <v>254</v>
      </c>
      <c r="H16" s="110">
        <f>G16/G30</f>
        <v>1.2543209876543209E-2</v>
      </c>
    </row>
    <row r="17" spans="1:8" ht="15" customHeight="1">
      <c r="A17" s="145">
        <v>11</v>
      </c>
      <c r="B17" s="137" t="s">
        <v>78</v>
      </c>
      <c r="C17" s="128">
        <v>0</v>
      </c>
      <c r="D17" s="63">
        <v>0</v>
      </c>
      <c r="E17" s="64">
        <v>0</v>
      </c>
      <c r="F17" s="59">
        <f>1071+3</f>
        <v>1074</v>
      </c>
      <c r="G17" s="104">
        <f t="shared" si="0"/>
        <v>1074</v>
      </c>
      <c r="H17" s="110">
        <f>G17/G30</f>
        <v>5.3037037037037035E-2</v>
      </c>
    </row>
    <row r="18" spans="1:8" ht="15" customHeight="1">
      <c r="A18" s="145">
        <v>12</v>
      </c>
      <c r="B18" s="137" t="s">
        <v>79</v>
      </c>
      <c r="C18" s="128">
        <v>0</v>
      </c>
      <c r="D18" s="63">
        <v>0</v>
      </c>
      <c r="E18" s="64">
        <v>9</v>
      </c>
      <c r="F18" s="64">
        <f>160+1</f>
        <v>161</v>
      </c>
      <c r="G18" s="103">
        <f t="shared" si="0"/>
        <v>170</v>
      </c>
      <c r="H18" s="110">
        <f>G18/G30</f>
        <v>8.3950617283950618E-3</v>
      </c>
    </row>
    <row r="19" spans="1:8" ht="15" customHeight="1">
      <c r="A19" s="145">
        <v>13</v>
      </c>
      <c r="B19" s="137" t="s">
        <v>80</v>
      </c>
      <c r="C19" s="128">
        <v>0</v>
      </c>
      <c r="D19" s="63">
        <v>0</v>
      </c>
      <c r="E19" s="64">
        <v>0</v>
      </c>
      <c r="F19" s="64">
        <v>682</v>
      </c>
      <c r="G19" s="103">
        <f t="shared" si="0"/>
        <v>682</v>
      </c>
      <c r="H19" s="110">
        <f>G19/G30</f>
        <v>3.3679012345679014E-2</v>
      </c>
    </row>
    <row r="20" spans="1:8" ht="14.25" customHeight="1">
      <c r="A20" s="145">
        <v>14</v>
      </c>
      <c r="B20" s="137" t="s">
        <v>81</v>
      </c>
      <c r="C20" s="128">
        <v>0</v>
      </c>
      <c r="D20" s="63">
        <v>50</v>
      </c>
      <c r="E20" s="64">
        <v>21</v>
      </c>
      <c r="F20" s="64">
        <v>737</v>
      </c>
      <c r="G20" s="103">
        <f t="shared" si="0"/>
        <v>808</v>
      </c>
      <c r="H20" s="110">
        <f>G20/G30</f>
        <v>3.9901234567901234E-2</v>
      </c>
    </row>
    <row r="21" spans="1:8" ht="13.5" customHeight="1">
      <c r="A21" s="146">
        <v>15</v>
      </c>
      <c r="B21" s="137" t="s">
        <v>82</v>
      </c>
      <c r="C21" s="128">
        <v>0</v>
      </c>
      <c r="D21" s="63">
        <v>10</v>
      </c>
      <c r="E21" s="64">
        <v>0</v>
      </c>
      <c r="F21" s="64">
        <v>456</v>
      </c>
      <c r="G21" s="103">
        <f t="shared" si="0"/>
        <v>466</v>
      </c>
      <c r="H21" s="110">
        <f>G21/G30</f>
        <v>2.3012345679012346E-2</v>
      </c>
    </row>
    <row r="22" spans="1:8" ht="15" customHeight="1">
      <c r="A22" s="145">
        <v>16</v>
      </c>
      <c r="B22" s="137" t="s">
        <v>83</v>
      </c>
      <c r="C22" s="128">
        <v>0</v>
      </c>
      <c r="D22" s="63">
        <v>11</v>
      </c>
      <c r="E22" s="64">
        <v>3</v>
      </c>
      <c r="F22" s="64">
        <f>303+1</f>
        <v>304</v>
      </c>
      <c r="G22" s="104">
        <f t="shared" si="0"/>
        <v>318</v>
      </c>
      <c r="H22" s="110">
        <f>G22/G30</f>
        <v>1.5703703703703702E-2</v>
      </c>
    </row>
    <row r="23" spans="1:8" ht="24" customHeight="1">
      <c r="A23" s="146">
        <v>17</v>
      </c>
      <c r="B23" s="137" t="s">
        <v>84</v>
      </c>
      <c r="C23" s="128">
        <v>0</v>
      </c>
      <c r="D23" s="63">
        <v>0</v>
      </c>
      <c r="E23" s="64">
        <v>1</v>
      </c>
      <c r="F23" s="64">
        <v>242</v>
      </c>
      <c r="G23" s="103">
        <f t="shared" si="0"/>
        <v>243</v>
      </c>
      <c r="H23" s="110">
        <f>G23/G30</f>
        <v>1.2E-2</v>
      </c>
    </row>
    <row r="24" spans="1:8" ht="17.25" customHeight="1">
      <c r="A24" s="145">
        <v>18</v>
      </c>
      <c r="B24" s="138" t="s">
        <v>85</v>
      </c>
      <c r="C24" s="128">
        <v>0</v>
      </c>
      <c r="D24" s="63">
        <v>34</v>
      </c>
      <c r="E24" s="64">
        <v>13</v>
      </c>
      <c r="F24" s="64">
        <v>357</v>
      </c>
      <c r="G24" s="103">
        <f t="shared" si="0"/>
        <v>404</v>
      </c>
      <c r="H24" s="110">
        <f>G24/G30</f>
        <v>1.9950617283950617E-2</v>
      </c>
    </row>
    <row r="25" spans="1:8" ht="15.75" customHeight="1">
      <c r="A25" s="145">
        <v>19</v>
      </c>
      <c r="B25" s="138" t="s">
        <v>86</v>
      </c>
      <c r="C25" s="128">
        <v>0</v>
      </c>
      <c r="D25" s="63">
        <v>5</v>
      </c>
      <c r="E25" s="64">
        <v>12</v>
      </c>
      <c r="F25" s="64">
        <v>338</v>
      </c>
      <c r="G25" s="103">
        <f t="shared" si="0"/>
        <v>355</v>
      </c>
      <c r="H25" s="110">
        <f>G25/G30</f>
        <v>1.7530864197530863E-2</v>
      </c>
    </row>
    <row r="26" spans="1:8" ht="24" customHeight="1">
      <c r="A26" s="146">
        <v>20</v>
      </c>
      <c r="B26" s="138" t="s">
        <v>87</v>
      </c>
      <c r="C26" s="128">
        <v>0</v>
      </c>
      <c r="D26" s="63">
        <v>0</v>
      </c>
      <c r="E26" s="64">
        <v>0</v>
      </c>
      <c r="F26" s="64">
        <v>13</v>
      </c>
      <c r="G26" s="106">
        <f t="shared" si="0"/>
        <v>13</v>
      </c>
      <c r="H26" s="110">
        <f>G26/G30</f>
        <v>6.4197530864197529E-4</v>
      </c>
    </row>
    <row r="27" spans="1:8" ht="16.5" customHeight="1">
      <c r="A27" s="145">
        <v>21</v>
      </c>
      <c r="B27" s="138" t="s">
        <v>88</v>
      </c>
      <c r="C27" s="128">
        <v>0</v>
      </c>
      <c r="D27" s="63">
        <v>0</v>
      </c>
      <c r="E27" s="64">
        <v>0</v>
      </c>
      <c r="F27" s="64">
        <v>17</v>
      </c>
      <c r="G27" s="103">
        <f t="shared" si="0"/>
        <v>17</v>
      </c>
      <c r="H27" s="110">
        <f>G27/G30</f>
        <v>8.3950617283950623E-4</v>
      </c>
    </row>
    <row r="28" spans="1:8" ht="14.25" customHeight="1">
      <c r="A28" s="145">
        <v>22</v>
      </c>
      <c r="B28" s="139" t="s">
        <v>89</v>
      </c>
      <c r="C28" s="128">
        <v>0</v>
      </c>
      <c r="D28" s="63">
        <v>2</v>
      </c>
      <c r="E28" s="64">
        <v>5</v>
      </c>
      <c r="F28" s="64">
        <f>760+8</f>
        <v>768</v>
      </c>
      <c r="G28" s="103">
        <f t="shared" si="0"/>
        <v>775</v>
      </c>
      <c r="H28" s="110">
        <f>G28/G30</f>
        <v>3.8271604938271607E-2</v>
      </c>
    </row>
    <row r="29" spans="1:8" ht="15" customHeight="1" thickBot="1">
      <c r="A29" s="147">
        <v>23</v>
      </c>
      <c r="B29" s="164" t="s">
        <v>90</v>
      </c>
      <c r="C29" s="160">
        <v>0</v>
      </c>
      <c r="D29" s="93">
        <v>0</v>
      </c>
      <c r="E29" s="100">
        <v>0</v>
      </c>
      <c r="F29" s="100">
        <v>0</v>
      </c>
      <c r="G29" s="107">
        <f t="shared" si="0"/>
        <v>0</v>
      </c>
      <c r="H29" s="111">
        <f>G29/G30</f>
        <v>0</v>
      </c>
    </row>
    <row r="30" spans="1:8" ht="24" customHeight="1" thickBot="1">
      <c r="A30" s="542" t="s">
        <v>6</v>
      </c>
      <c r="B30" s="542"/>
      <c r="C30" s="161">
        <f t="shared" ref="C30:H30" si="1">SUM(C7:C29)</f>
        <v>22</v>
      </c>
      <c r="D30" s="98">
        <f t="shared" si="1"/>
        <v>1988</v>
      </c>
      <c r="E30" s="98">
        <f t="shared" si="1"/>
        <v>4956</v>
      </c>
      <c r="F30" s="98">
        <f t="shared" si="1"/>
        <v>13284</v>
      </c>
      <c r="G30" s="108">
        <f t="shared" si="1"/>
        <v>20250</v>
      </c>
      <c r="H30" s="112">
        <f t="shared" si="1"/>
        <v>1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9"/>
      <c r="B32" s="39"/>
      <c r="F32" s="87" t="s">
        <v>12</v>
      </c>
    </row>
    <row r="33" spans="1:6">
      <c r="A33" s="537">
        <v>43482</v>
      </c>
      <c r="B33" s="537"/>
      <c r="F33" s="87" t="s">
        <v>91</v>
      </c>
    </row>
    <row r="34" spans="1:6">
      <c r="B34" s="101"/>
    </row>
  </sheetData>
  <mergeCells count="9">
    <mergeCell ref="H5:H6"/>
    <mergeCell ref="C4:H4"/>
    <mergeCell ref="A30:B30"/>
    <mergeCell ref="A33:B33"/>
    <mergeCell ref="A2:G2"/>
    <mergeCell ref="A3:C3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topLeftCell="A3" workbookViewId="0">
      <selection activeCell="N6" sqref="N6"/>
    </sheetView>
  </sheetViews>
  <sheetFormatPr defaultRowHeight="12.75"/>
  <cols>
    <col min="1" max="1" width="5.42578125" customWidth="1"/>
    <col min="2" max="2" width="52.7109375" customWidth="1"/>
    <col min="3" max="7" width="12.7109375" customWidth="1"/>
    <col min="8" max="8" width="12.5703125" customWidth="1"/>
  </cols>
  <sheetData>
    <row r="1" spans="1:8">
      <c r="A1" s="122" t="s">
        <v>120</v>
      </c>
      <c r="B1" s="24"/>
    </row>
    <row r="2" spans="1:8" ht="30.75" customHeight="1">
      <c r="A2" s="541" t="s">
        <v>136</v>
      </c>
      <c r="B2" s="541"/>
      <c r="C2" s="541"/>
      <c r="D2" s="541"/>
      <c r="E2" s="541"/>
      <c r="F2" s="541"/>
      <c r="G2" s="541"/>
    </row>
    <row r="3" spans="1:8" ht="11.25" customHeight="1" thickBot="1">
      <c r="A3" s="502"/>
      <c r="B3" s="502"/>
      <c r="C3" s="502"/>
    </row>
    <row r="4" spans="1:8" ht="14.25" customHeight="1">
      <c r="A4" s="142"/>
      <c r="B4" s="133"/>
      <c r="C4" s="521" t="s">
        <v>60</v>
      </c>
      <c r="D4" s="521"/>
      <c r="E4" s="521"/>
      <c r="F4" s="521"/>
      <c r="G4" s="521"/>
      <c r="H4" s="545"/>
    </row>
    <row r="5" spans="1:8" ht="13.5" customHeight="1">
      <c r="A5" s="143" t="s">
        <v>61</v>
      </c>
      <c r="B5" s="134" t="s">
        <v>62</v>
      </c>
      <c r="C5" s="524" t="s">
        <v>63</v>
      </c>
      <c r="D5" s="517"/>
      <c r="E5" s="525" t="s">
        <v>64</v>
      </c>
      <c r="F5" s="526"/>
      <c r="G5" s="543" t="s">
        <v>6</v>
      </c>
      <c r="H5" s="539" t="s">
        <v>113</v>
      </c>
    </row>
    <row r="6" spans="1:8" ht="24" customHeight="1" thickBot="1">
      <c r="A6" s="141"/>
      <c r="B6" s="141"/>
      <c r="C6" s="61" t="s">
        <v>65</v>
      </c>
      <c r="D6" s="62" t="s">
        <v>66</v>
      </c>
      <c r="E6" s="62" t="s">
        <v>66</v>
      </c>
      <c r="F6" s="97" t="s">
        <v>67</v>
      </c>
      <c r="G6" s="544"/>
      <c r="H6" s="540"/>
    </row>
    <row r="7" spans="1:8" ht="14.25" customHeight="1">
      <c r="A7" s="162">
        <v>1</v>
      </c>
      <c r="B7" s="163" t="s">
        <v>68</v>
      </c>
      <c r="C7" s="165">
        <v>0</v>
      </c>
      <c r="D7" s="96">
        <v>0</v>
      </c>
      <c r="E7" s="91">
        <v>0</v>
      </c>
      <c r="F7" s="91">
        <v>62</v>
      </c>
      <c r="G7" s="166">
        <f>SUM(C7+D7+E7+F7)</f>
        <v>62</v>
      </c>
      <c r="H7" s="110">
        <f>G7/G30</f>
        <v>2.5199154609006668E-3</v>
      </c>
    </row>
    <row r="8" spans="1:8" ht="14.25" customHeight="1">
      <c r="A8" s="145">
        <v>2</v>
      </c>
      <c r="B8" s="137" t="s">
        <v>69</v>
      </c>
      <c r="C8" s="128">
        <v>0</v>
      </c>
      <c r="D8" s="63">
        <v>0</v>
      </c>
      <c r="E8" s="64">
        <v>0</v>
      </c>
      <c r="F8" s="64">
        <v>31</v>
      </c>
      <c r="G8" s="103">
        <f>SUM(C8+D8+E8+F8)</f>
        <v>31</v>
      </c>
      <c r="H8" s="110">
        <f>G8/G30</f>
        <v>1.2599577304503334E-3</v>
      </c>
    </row>
    <row r="9" spans="1:8" ht="12.75" customHeight="1">
      <c r="A9" s="145">
        <v>3</v>
      </c>
      <c r="B9" s="137" t="s">
        <v>70</v>
      </c>
      <c r="C9" s="128">
        <v>14</v>
      </c>
      <c r="D9" s="63">
        <v>0</v>
      </c>
      <c r="E9" s="64">
        <v>9</v>
      </c>
      <c r="F9" s="64">
        <f>847+1</f>
        <v>848</v>
      </c>
      <c r="G9" s="103">
        <f t="shared" ref="G9:G29" si="0">SUM(C9+D9+E9+F9)</f>
        <v>871</v>
      </c>
      <c r="H9" s="110">
        <f>G9/G30</f>
        <v>3.5400747845878718E-2</v>
      </c>
    </row>
    <row r="10" spans="1:8" ht="15" customHeight="1">
      <c r="A10" s="145">
        <v>4</v>
      </c>
      <c r="B10" s="137" t="s">
        <v>71</v>
      </c>
      <c r="C10" s="129">
        <v>0</v>
      </c>
      <c r="D10" s="66">
        <v>0</v>
      </c>
      <c r="E10" s="67">
        <v>0</v>
      </c>
      <c r="F10" s="59">
        <v>5</v>
      </c>
      <c r="G10" s="104">
        <f t="shared" si="0"/>
        <v>5</v>
      </c>
      <c r="H10" s="110">
        <f>G10/G30</f>
        <v>2.0321898878231182E-4</v>
      </c>
    </row>
    <row r="11" spans="1:8" ht="24" customHeight="1">
      <c r="A11" s="145">
        <v>5</v>
      </c>
      <c r="B11" s="137" t="s">
        <v>72</v>
      </c>
      <c r="C11" s="128">
        <v>0</v>
      </c>
      <c r="D11" s="63">
        <v>0</v>
      </c>
      <c r="E11" s="64">
        <v>0</v>
      </c>
      <c r="F11" s="64">
        <v>9</v>
      </c>
      <c r="G11" s="104">
        <f t="shared" si="0"/>
        <v>9</v>
      </c>
      <c r="H11" s="110">
        <f>G11/G30</f>
        <v>3.6579417980816127E-4</v>
      </c>
    </row>
    <row r="12" spans="1:8" ht="12.75" customHeight="1">
      <c r="A12" s="145">
        <v>6</v>
      </c>
      <c r="B12" s="137" t="s">
        <v>73</v>
      </c>
      <c r="C12" s="129">
        <v>0</v>
      </c>
      <c r="D12" s="58">
        <v>0</v>
      </c>
      <c r="E12" s="59">
        <v>6</v>
      </c>
      <c r="F12" s="59">
        <f>728+2</f>
        <v>730</v>
      </c>
      <c r="G12" s="104">
        <f t="shared" si="0"/>
        <v>736</v>
      </c>
      <c r="H12" s="110">
        <f>G12/G30</f>
        <v>2.9913835148756299E-2</v>
      </c>
    </row>
    <row r="13" spans="1:8" ht="24" customHeight="1">
      <c r="A13" s="145">
        <v>7</v>
      </c>
      <c r="B13" s="137" t="s">
        <v>74</v>
      </c>
      <c r="C13" s="129">
        <v>0</v>
      </c>
      <c r="D13" s="58">
        <v>205</v>
      </c>
      <c r="E13" s="59">
        <v>55</v>
      </c>
      <c r="F13" s="59">
        <v>2828</v>
      </c>
      <c r="G13" s="104">
        <f t="shared" si="0"/>
        <v>3088</v>
      </c>
      <c r="H13" s="110">
        <f>G13/G30</f>
        <v>0.12550804747195579</v>
      </c>
    </row>
    <row r="14" spans="1:8" ht="14.25" customHeight="1">
      <c r="A14" s="145">
        <v>8</v>
      </c>
      <c r="B14" s="137" t="s">
        <v>75</v>
      </c>
      <c r="C14" s="129">
        <v>0</v>
      </c>
      <c r="D14" s="58">
        <v>21</v>
      </c>
      <c r="E14" s="58">
        <v>24</v>
      </c>
      <c r="F14" s="59">
        <v>1144</v>
      </c>
      <c r="G14" s="104">
        <f t="shared" si="0"/>
        <v>1189</v>
      </c>
      <c r="H14" s="110">
        <f>G14/G30</f>
        <v>4.832547553243375E-2</v>
      </c>
    </row>
    <row r="15" spans="1:8" ht="24" customHeight="1">
      <c r="A15" s="145">
        <v>9</v>
      </c>
      <c r="B15" s="137" t="s">
        <v>76</v>
      </c>
      <c r="C15" s="128">
        <v>0</v>
      </c>
      <c r="D15" s="63">
        <v>3168</v>
      </c>
      <c r="E15" s="58">
        <v>5929</v>
      </c>
      <c r="F15" s="64">
        <f>2893+9</f>
        <v>2902</v>
      </c>
      <c r="G15" s="104">
        <f t="shared" si="0"/>
        <v>11999</v>
      </c>
      <c r="H15" s="110">
        <f>G15/G30</f>
        <v>0.4876849292797919</v>
      </c>
    </row>
    <row r="16" spans="1:8" ht="15" customHeight="1">
      <c r="A16" s="145">
        <v>10</v>
      </c>
      <c r="B16" s="137" t="s">
        <v>77</v>
      </c>
      <c r="C16" s="128">
        <v>0</v>
      </c>
      <c r="D16" s="63">
        <v>0</v>
      </c>
      <c r="E16" s="64">
        <v>0</v>
      </c>
      <c r="F16" s="64">
        <f>290+1</f>
        <v>291</v>
      </c>
      <c r="G16" s="103">
        <f t="shared" si="0"/>
        <v>291</v>
      </c>
      <c r="H16" s="110">
        <f>G16/G30</f>
        <v>1.1827345147130549E-2</v>
      </c>
    </row>
    <row r="17" spans="1:8" ht="15" customHeight="1">
      <c r="A17" s="145">
        <v>11</v>
      </c>
      <c r="B17" s="137" t="s">
        <v>78</v>
      </c>
      <c r="C17" s="128">
        <v>0</v>
      </c>
      <c r="D17" s="63">
        <v>0</v>
      </c>
      <c r="E17" s="64">
        <v>0</v>
      </c>
      <c r="F17" s="59">
        <f>1087+1</f>
        <v>1088</v>
      </c>
      <c r="G17" s="104">
        <f t="shared" si="0"/>
        <v>1088</v>
      </c>
      <c r="H17" s="110">
        <f>G17/G30</f>
        <v>4.422045195903105E-2</v>
      </c>
    </row>
    <row r="18" spans="1:8" ht="15" customHeight="1">
      <c r="A18" s="145">
        <v>12</v>
      </c>
      <c r="B18" s="137" t="s">
        <v>79</v>
      </c>
      <c r="C18" s="128">
        <v>0</v>
      </c>
      <c r="D18" s="63">
        <v>0</v>
      </c>
      <c r="E18" s="64">
        <v>10</v>
      </c>
      <c r="F18" s="64">
        <f>165+1</f>
        <v>166</v>
      </c>
      <c r="G18" s="103">
        <f t="shared" si="0"/>
        <v>176</v>
      </c>
      <c r="H18" s="110">
        <f>G18/G30</f>
        <v>7.1533084051373756E-3</v>
      </c>
    </row>
    <row r="19" spans="1:8" ht="15" customHeight="1">
      <c r="A19" s="145">
        <v>13</v>
      </c>
      <c r="B19" s="137" t="s">
        <v>80</v>
      </c>
      <c r="C19" s="128">
        <v>0</v>
      </c>
      <c r="D19" s="63">
        <v>0</v>
      </c>
      <c r="E19" s="64">
        <v>1</v>
      </c>
      <c r="F19" s="64">
        <f>662+2</f>
        <v>664</v>
      </c>
      <c r="G19" s="103">
        <f t="shared" si="0"/>
        <v>665</v>
      </c>
      <c r="H19" s="110">
        <f>G19/G30</f>
        <v>2.7028125508047472E-2</v>
      </c>
    </row>
    <row r="20" spans="1:8" ht="14.25" customHeight="1">
      <c r="A20" s="145">
        <v>14</v>
      </c>
      <c r="B20" s="137" t="s">
        <v>81</v>
      </c>
      <c r="C20" s="128">
        <v>0</v>
      </c>
      <c r="D20" s="63">
        <v>52</v>
      </c>
      <c r="E20" s="64">
        <v>38</v>
      </c>
      <c r="F20" s="64">
        <f>843+1</f>
        <v>844</v>
      </c>
      <c r="G20" s="103">
        <f t="shared" si="0"/>
        <v>934</v>
      </c>
      <c r="H20" s="110">
        <f>G20/G30</f>
        <v>3.7961307104535845E-2</v>
      </c>
    </row>
    <row r="21" spans="1:8" ht="13.5" customHeight="1">
      <c r="A21" s="146">
        <v>15</v>
      </c>
      <c r="B21" s="137" t="s">
        <v>82</v>
      </c>
      <c r="C21" s="128">
        <v>0</v>
      </c>
      <c r="D21" s="63">
        <v>12</v>
      </c>
      <c r="E21" s="64">
        <v>1</v>
      </c>
      <c r="F21" s="64">
        <v>1232</v>
      </c>
      <c r="G21" s="103">
        <f t="shared" si="0"/>
        <v>1245</v>
      </c>
      <c r="H21" s="110">
        <f>G21/G30</f>
        <v>5.0601528206795643E-2</v>
      </c>
    </row>
    <row r="22" spans="1:8" ht="15" customHeight="1">
      <c r="A22" s="145">
        <v>16</v>
      </c>
      <c r="B22" s="137" t="s">
        <v>83</v>
      </c>
      <c r="C22" s="128">
        <v>0</v>
      </c>
      <c r="D22" s="63">
        <v>11</v>
      </c>
      <c r="E22" s="64">
        <v>3</v>
      </c>
      <c r="F22" s="64">
        <f>294+1</f>
        <v>295</v>
      </c>
      <c r="G22" s="104">
        <f t="shared" si="0"/>
        <v>309</v>
      </c>
      <c r="H22" s="110">
        <f>G22/G30</f>
        <v>1.255893350674687E-2</v>
      </c>
    </row>
    <row r="23" spans="1:8" ht="24" customHeight="1">
      <c r="A23" s="146">
        <v>17</v>
      </c>
      <c r="B23" s="137" t="s">
        <v>84</v>
      </c>
      <c r="C23" s="128">
        <v>0</v>
      </c>
      <c r="D23" s="63">
        <v>0</v>
      </c>
      <c r="E23" s="64">
        <v>2</v>
      </c>
      <c r="F23" s="64">
        <v>248</v>
      </c>
      <c r="G23" s="103">
        <f t="shared" si="0"/>
        <v>250</v>
      </c>
      <c r="H23" s="110">
        <f>G23/G30</f>
        <v>1.0160949439115592E-2</v>
      </c>
    </row>
    <row r="24" spans="1:8" ht="17.25" customHeight="1">
      <c r="A24" s="145">
        <v>18</v>
      </c>
      <c r="B24" s="138" t="s">
        <v>85</v>
      </c>
      <c r="C24" s="128">
        <v>0</v>
      </c>
      <c r="D24" s="63">
        <v>36</v>
      </c>
      <c r="E24" s="64">
        <v>16</v>
      </c>
      <c r="F24" s="64">
        <v>377</v>
      </c>
      <c r="G24" s="103">
        <f t="shared" si="0"/>
        <v>429</v>
      </c>
      <c r="H24" s="110">
        <f>G24/G30</f>
        <v>1.7436189237522354E-2</v>
      </c>
    </row>
    <row r="25" spans="1:8" ht="15.75" customHeight="1">
      <c r="A25" s="145">
        <v>19</v>
      </c>
      <c r="B25" s="138" t="s">
        <v>86</v>
      </c>
      <c r="C25" s="128">
        <v>0</v>
      </c>
      <c r="D25" s="63">
        <v>12</v>
      </c>
      <c r="E25" s="64">
        <v>21</v>
      </c>
      <c r="F25" s="64">
        <v>363</v>
      </c>
      <c r="G25" s="103">
        <f t="shared" si="0"/>
        <v>396</v>
      </c>
      <c r="H25" s="110">
        <f>G25/G30</f>
        <v>1.6094943911559096E-2</v>
      </c>
    </row>
    <row r="26" spans="1:8" ht="24" customHeight="1">
      <c r="A26" s="146">
        <v>20</v>
      </c>
      <c r="B26" s="138" t="s">
        <v>87</v>
      </c>
      <c r="C26" s="128">
        <v>0</v>
      </c>
      <c r="D26" s="63">
        <v>0</v>
      </c>
      <c r="E26" s="64">
        <v>0</v>
      </c>
      <c r="F26" s="64">
        <v>14</v>
      </c>
      <c r="G26" s="106">
        <f t="shared" si="0"/>
        <v>14</v>
      </c>
      <c r="H26" s="110">
        <f>G26/G30</f>
        <v>5.6901316859047312E-4</v>
      </c>
    </row>
    <row r="27" spans="1:8" ht="16.5" customHeight="1">
      <c r="A27" s="145">
        <v>21</v>
      </c>
      <c r="B27" s="138" t="s">
        <v>88</v>
      </c>
      <c r="C27" s="128">
        <v>0</v>
      </c>
      <c r="D27" s="63">
        <v>0</v>
      </c>
      <c r="E27" s="64">
        <v>0</v>
      </c>
      <c r="F27" s="64">
        <v>19</v>
      </c>
      <c r="G27" s="103">
        <f t="shared" si="0"/>
        <v>19</v>
      </c>
      <c r="H27" s="110">
        <f>G27/G30</f>
        <v>7.7223215737278492E-4</v>
      </c>
    </row>
    <row r="28" spans="1:8" ht="14.25" customHeight="1">
      <c r="A28" s="145">
        <v>22</v>
      </c>
      <c r="B28" s="139" t="s">
        <v>89</v>
      </c>
      <c r="C28" s="128">
        <v>0</v>
      </c>
      <c r="D28" s="63">
        <v>3</v>
      </c>
      <c r="E28" s="64">
        <v>9</v>
      </c>
      <c r="F28" s="64">
        <f>777+9</f>
        <v>786</v>
      </c>
      <c r="G28" s="103">
        <f t="shared" si="0"/>
        <v>798</v>
      </c>
      <c r="H28" s="110">
        <f>G28/G30</f>
        <v>3.2433750609656968E-2</v>
      </c>
    </row>
    <row r="29" spans="1:8" ht="15" customHeight="1" thickBot="1">
      <c r="A29" s="147">
        <v>23</v>
      </c>
      <c r="B29" s="164" t="s">
        <v>90</v>
      </c>
      <c r="C29" s="160">
        <v>0</v>
      </c>
      <c r="D29" s="93">
        <v>0</v>
      </c>
      <c r="E29" s="100">
        <v>0</v>
      </c>
      <c r="F29" s="100">
        <v>0</v>
      </c>
      <c r="G29" s="107">
        <f t="shared" si="0"/>
        <v>0</v>
      </c>
      <c r="H29" s="157">
        <f>G29/G30</f>
        <v>0</v>
      </c>
    </row>
    <row r="30" spans="1:8" ht="24" customHeight="1" thickBot="1">
      <c r="A30" s="542" t="s">
        <v>6</v>
      </c>
      <c r="B30" s="542"/>
      <c r="C30" s="161">
        <f t="shared" ref="C30:H30" si="1">SUM(C7:C29)</f>
        <v>14</v>
      </c>
      <c r="D30" s="98">
        <f t="shared" si="1"/>
        <v>3520</v>
      </c>
      <c r="E30" s="98">
        <f t="shared" si="1"/>
        <v>6124</v>
      </c>
      <c r="F30" s="98">
        <f t="shared" si="1"/>
        <v>14946</v>
      </c>
      <c r="G30" s="99">
        <f t="shared" si="1"/>
        <v>24604</v>
      </c>
      <c r="H30" s="159">
        <f t="shared" si="1"/>
        <v>0.99999999999999989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9"/>
      <c r="B32" s="39"/>
      <c r="F32" s="87" t="s">
        <v>12</v>
      </c>
    </row>
    <row r="33" spans="1:6">
      <c r="A33" s="537">
        <v>43521</v>
      </c>
      <c r="B33" s="537"/>
      <c r="F33" s="87" t="s">
        <v>91</v>
      </c>
    </row>
    <row r="34" spans="1:6">
      <c r="B34" s="101"/>
    </row>
  </sheetData>
  <mergeCells count="9">
    <mergeCell ref="A30:B30"/>
    <mergeCell ref="A33:B33"/>
    <mergeCell ref="H5:H6"/>
    <mergeCell ref="A2:G2"/>
    <mergeCell ref="A3:C3"/>
    <mergeCell ref="C5:D5"/>
    <mergeCell ref="E5:F5"/>
    <mergeCell ref="G5:G6"/>
    <mergeCell ref="C4:H4"/>
  </mergeCells>
  <pageMargins left="0.70866141732283472" right="0.70866141732283472" top="0.35433070866141736" bottom="0.15748031496062992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G24" sqref="G24"/>
    </sheetView>
  </sheetViews>
  <sheetFormatPr defaultRowHeight="12.75"/>
  <cols>
    <col min="1" max="1" width="14.85546875" customWidth="1"/>
    <col min="4" max="4" width="9.7109375" customWidth="1"/>
    <col min="9" max="9" width="8.85546875" customWidth="1"/>
    <col min="10" max="10" width="9.5703125" customWidth="1"/>
    <col min="13" max="13" width="8.5703125" customWidth="1"/>
    <col min="14" max="14" width="10.7109375" customWidth="1"/>
  </cols>
  <sheetData>
    <row r="1" spans="1:14">
      <c r="A1" s="123" t="s">
        <v>96</v>
      </c>
      <c r="L1" s="440"/>
      <c r="M1" s="440"/>
      <c r="N1" s="440"/>
    </row>
    <row r="2" spans="1:14">
      <c r="A2" s="448" t="s">
        <v>49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pans="1:14">
      <c r="A3" s="449" t="s">
        <v>137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</row>
    <row r="4" spans="1:14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95" customHeight="1">
      <c r="A5" s="444" t="s">
        <v>0</v>
      </c>
      <c r="B5" s="450">
        <v>2017</v>
      </c>
      <c r="C5" s="450"/>
      <c r="D5" s="450"/>
      <c r="E5" s="450"/>
      <c r="F5" s="450"/>
      <c r="G5" s="450"/>
      <c r="H5" s="450">
        <v>2018</v>
      </c>
      <c r="I5" s="450"/>
      <c r="J5" s="450"/>
      <c r="K5" s="450"/>
      <c r="L5" s="450"/>
      <c r="M5" s="450"/>
      <c r="N5" s="451" t="s">
        <v>116</v>
      </c>
    </row>
    <row r="6" spans="1:14" ht="15.95" customHeight="1">
      <c r="A6" s="445"/>
      <c r="B6" s="187" t="s">
        <v>1</v>
      </c>
      <c r="C6" s="187" t="s">
        <v>2</v>
      </c>
      <c r="D6" s="187" t="s">
        <v>3</v>
      </c>
      <c r="E6" s="187" t="s">
        <v>4</v>
      </c>
      <c r="F6" s="187" t="s">
        <v>5</v>
      </c>
      <c r="G6" s="187" t="s">
        <v>6</v>
      </c>
      <c r="H6" s="187" t="s">
        <v>1</v>
      </c>
      <c r="I6" s="187" t="s">
        <v>2</v>
      </c>
      <c r="J6" s="187" t="s">
        <v>3</v>
      </c>
      <c r="K6" s="187" t="s">
        <v>4</v>
      </c>
      <c r="L6" s="187" t="s">
        <v>5</v>
      </c>
      <c r="M6" s="187" t="s">
        <v>6</v>
      </c>
      <c r="N6" s="452"/>
    </row>
    <row r="7" spans="1:14" ht="15.95" customHeight="1">
      <c r="A7" s="15" t="s">
        <v>19</v>
      </c>
      <c r="B7" s="360">
        <v>4710</v>
      </c>
      <c r="C7" s="360">
        <v>3550</v>
      </c>
      <c r="D7" s="360">
        <v>8229</v>
      </c>
      <c r="E7" s="360">
        <v>4994</v>
      </c>
      <c r="F7" s="360">
        <v>5728</v>
      </c>
      <c r="G7" s="360">
        <v>27211</v>
      </c>
      <c r="H7" s="16">
        <f>'κατά επαρχία και φύλο το 2018'!B7+'κατά επαρχία και φύλο το 2018'!I7</f>
        <v>3976</v>
      </c>
      <c r="I7" s="16">
        <f>'κατά επαρχία και φύλο το 2018'!C7+'κατά επαρχία και φύλο το 2018'!J7</f>
        <v>3338</v>
      </c>
      <c r="J7" s="16">
        <f>'κατά επαρχία και φύλο το 2018'!D7+'κατά επαρχία και φύλο το 2018'!K7</f>
        <v>8635</v>
      </c>
      <c r="K7" s="16">
        <f>'κατά επαρχία και φύλο το 2018'!E7+'κατά επαρχία και φύλο το 2018'!L7</f>
        <v>4411</v>
      </c>
      <c r="L7" s="16">
        <f>'κατά επαρχία και φύλο το 2018'!F7+'κατά επαρχία και φύλο το 2018'!M7</f>
        <v>5574</v>
      </c>
      <c r="M7" s="16">
        <f t="shared" ref="M7:M12" si="0">SUM(H7:L7)</f>
        <v>25934</v>
      </c>
      <c r="N7" s="188">
        <f t="shared" ref="N7:N12" si="1">+(M7/G7)-1</f>
        <v>-4.6929550549410171E-2</v>
      </c>
    </row>
    <row r="8" spans="1:14" ht="15.95" customHeight="1">
      <c r="A8" s="15" t="s">
        <v>20</v>
      </c>
      <c r="B8" s="360">
        <v>4501</v>
      </c>
      <c r="C8" s="360">
        <v>3365</v>
      </c>
      <c r="D8" s="360">
        <v>8061</v>
      </c>
      <c r="E8" s="360">
        <v>4861</v>
      </c>
      <c r="F8" s="360">
        <v>5644</v>
      </c>
      <c r="G8" s="360">
        <v>26432</v>
      </c>
      <c r="H8" s="16">
        <f>'κατά επαρχία και φύλο το 2018'!B8+'κατά επαρχία και φύλο το 2018'!I8</f>
        <v>3358</v>
      </c>
      <c r="I8" s="16">
        <f>'κατά επαρχία και φύλο το 2018'!C8+'κατά επαρχία και φύλο το 2018'!J8</f>
        <v>3007</v>
      </c>
      <c r="J8" s="16">
        <f>'κατά επαρχία και φύλο το 2018'!D8+'κατά επαρχία και φύλο το 2018'!K8</f>
        <v>8340</v>
      </c>
      <c r="K8" s="16">
        <f>'κατά επαρχία και φύλο το 2018'!E8+'κατά επαρχία και φύλο το 2018'!L8</f>
        <v>4028</v>
      </c>
      <c r="L8" s="16">
        <f>'κατά επαρχία και φύλο το 2018'!F8+'κατά επαρχία και φύλο το 2018'!M8</f>
        <v>4932</v>
      </c>
      <c r="M8" s="16">
        <f t="shared" si="0"/>
        <v>23665</v>
      </c>
      <c r="N8" s="188">
        <f t="shared" si="1"/>
        <v>-0.10468371670702181</v>
      </c>
    </row>
    <row r="9" spans="1:14" ht="15.95" customHeight="1">
      <c r="A9" s="15" t="s">
        <v>21</v>
      </c>
      <c r="B9" s="360">
        <v>4417</v>
      </c>
      <c r="C9" s="360">
        <v>3182</v>
      </c>
      <c r="D9" s="360">
        <v>7741</v>
      </c>
      <c r="E9" s="360">
        <v>4641</v>
      </c>
      <c r="F9" s="360">
        <v>4459</v>
      </c>
      <c r="G9" s="360">
        <v>24440</v>
      </c>
      <c r="H9" s="16">
        <f>'κατά επαρχία και φύλο το 2018'!B9+'κατά επαρχία και φύλο το 2018'!I9</f>
        <v>3313</v>
      </c>
      <c r="I9" s="16">
        <f>'κατά επαρχία και φύλο το 2018'!C9+'κατά επαρχία και φύλο το 2018'!J9</f>
        <v>2657</v>
      </c>
      <c r="J9" s="16">
        <f>'κατά επαρχία και φύλο το 2018'!D9+'κατά επαρχία και φύλο το 2018'!K9</f>
        <v>7812</v>
      </c>
      <c r="K9" s="16">
        <f>'κατά επαρχία και φύλο το 2018'!E9+'κατά επαρχία και φύλο το 2018'!L9</f>
        <v>3697</v>
      </c>
      <c r="L9" s="16">
        <f>'κατά επαρχία και φύλο το 2018'!F9+'κατά επαρχία και φύλο το 2018'!M9</f>
        <v>3682</v>
      </c>
      <c r="M9" s="16">
        <f t="shared" si="0"/>
        <v>21161</v>
      </c>
      <c r="N9" s="188">
        <f t="shared" si="1"/>
        <v>-0.13416530278232408</v>
      </c>
    </row>
    <row r="10" spans="1:14" ht="15.95" customHeight="1">
      <c r="A10" s="15" t="s">
        <v>22</v>
      </c>
      <c r="B10" s="360">
        <v>4158</v>
      </c>
      <c r="C10" s="360">
        <v>2550</v>
      </c>
      <c r="D10" s="360">
        <v>4744</v>
      </c>
      <c r="E10" s="360">
        <v>4142</v>
      </c>
      <c r="F10" s="360">
        <v>2493</v>
      </c>
      <c r="G10" s="360">
        <v>18087</v>
      </c>
      <c r="H10" s="16">
        <f>'κατά επαρχία και φύλο το 2018'!B10+'κατά επαρχία και φύλο το 2018'!I10</f>
        <v>3264</v>
      </c>
      <c r="I10" s="16">
        <f>'κατά επαρχία και φύλο το 2018'!C10+'κατά επαρχία και φύλο το 2018'!J10</f>
        <v>2176</v>
      </c>
      <c r="J10" s="16">
        <f>'κατά επαρχία και φύλο το 2018'!D10+'κατά επαρχία και φύλο το 2018'!K10</f>
        <v>5711</v>
      </c>
      <c r="K10" s="16">
        <f>'κατά επαρχία και φύλο το 2018'!E10+'κατά επαρχία και φύλο το 2018'!L10</f>
        <v>3390</v>
      </c>
      <c r="L10" s="16">
        <f>'κατά επαρχία και φύλο το 2018'!F10+'κατά επαρχία και φύλο το 2018'!M10</f>
        <v>2298</v>
      </c>
      <c r="M10" s="16">
        <f t="shared" si="0"/>
        <v>16839</v>
      </c>
      <c r="N10" s="188">
        <f t="shared" si="1"/>
        <v>-6.8999834135014093E-2</v>
      </c>
    </row>
    <row r="11" spans="1:14" ht="15.95" customHeight="1">
      <c r="A11" s="15" t="s">
        <v>23</v>
      </c>
      <c r="B11" s="360">
        <v>3826</v>
      </c>
      <c r="C11" s="360">
        <v>2049</v>
      </c>
      <c r="D11" s="360">
        <v>2091</v>
      </c>
      <c r="E11" s="360">
        <v>3908</v>
      </c>
      <c r="F11" s="360">
        <v>1611</v>
      </c>
      <c r="G11" s="360">
        <v>13485</v>
      </c>
      <c r="H11" s="16">
        <f>'κατά επαρχία και φύλο το 2018'!B11+'κατά επαρχία και φύλο το 2018'!I11</f>
        <v>3267</v>
      </c>
      <c r="I11" s="16">
        <f>'κατά επαρχία και φύλο το 2018'!C11+'κατά επαρχία και φύλο το 2018'!J11</f>
        <v>1555</v>
      </c>
      <c r="J11" s="16">
        <f>'κατά επαρχία και φύλο το 2018'!D11+'κατά επαρχία και φύλο το 2018'!K11</f>
        <v>1236</v>
      </c>
      <c r="K11" s="16">
        <f>'κατά επαρχία και φύλο το 2018'!E11+'κατά επαρχία και φύλο το 2018'!L11</f>
        <v>3177</v>
      </c>
      <c r="L11" s="16">
        <f>'κατά επαρχία και φύλο το 2018'!F11+'κατά επαρχία και φύλο το 2018'!M11</f>
        <v>1065</v>
      </c>
      <c r="M11" s="16">
        <f t="shared" si="0"/>
        <v>10300</v>
      </c>
      <c r="N11" s="188">
        <f t="shared" si="1"/>
        <v>-0.23618835743418609</v>
      </c>
    </row>
    <row r="12" spans="1:14" ht="15.95" customHeight="1" thickBot="1">
      <c r="A12" s="79" t="s">
        <v>24</v>
      </c>
      <c r="B12" s="361">
        <v>4270</v>
      </c>
      <c r="C12" s="361">
        <v>1948</v>
      </c>
      <c r="D12" s="361">
        <v>591</v>
      </c>
      <c r="E12" s="361">
        <v>4163</v>
      </c>
      <c r="F12" s="361">
        <v>1322</v>
      </c>
      <c r="G12" s="361">
        <v>12294</v>
      </c>
      <c r="H12" s="16">
        <f>'κατά επαρχία και φύλο το 2018'!B12+'κατά επαρχία και φύλο το 2018'!I12</f>
        <v>3894</v>
      </c>
      <c r="I12" s="16">
        <f>'κατά επαρχία και φύλο το 2018'!C12+'κατά επαρχία και φύλο το 2018'!J12</f>
        <v>1734</v>
      </c>
      <c r="J12" s="16">
        <f>'κατά επαρχία και φύλο το 2018'!D12+'κατά επαρχία και φύλο το 2018'!K12</f>
        <v>525</v>
      </c>
      <c r="K12" s="16">
        <f>'κατά επαρχία και φύλο το 2018'!E12+'κατά επαρχία και φύλο το 2018'!L12</f>
        <v>3671</v>
      </c>
      <c r="L12" s="16">
        <f>'κατά επαρχία και φύλο το 2018'!F12+'κατά επαρχία και φύλο το 2018'!M12</f>
        <v>1025</v>
      </c>
      <c r="M12" s="16">
        <f t="shared" si="0"/>
        <v>10849</v>
      </c>
      <c r="N12" s="188">
        <f t="shared" si="1"/>
        <v>-0.11753700992353999</v>
      </c>
    </row>
    <row r="13" spans="1:14" ht="15.95" customHeight="1">
      <c r="A13" s="441" t="s">
        <v>44</v>
      </c>
      <c r="B13" s="362"/>
      <c r="C13" s="363"/>
      <c r="D13" s="363"/>
      <c r="E13" s="363"/>
      <c r="F13" s="363"/>
      <c r="G13" s="363"/>
      <c r="H13" s="276"/>
      <c r="I13" s="271"/>
      <c r="J13" s="271"/>
      <c r="K13" s="271"/>
      <c r="L13" s="271"/>
      <c r="M13" s="271"/>
      <c r="N13" s="272"/>
    </row>
    <row r="14" spans="1:14" ht="20.25" customHeight="1" thickBot="1">
      <c r="A14" s="438"/>
      <c r="B14" s="326">
        <v>4313.666666666667</v>
      </c>
      <c r="C14" s="326">
        <v>2774</v>
      </c>
      <c r="D14" s="326">
        <v>5242.833333333333</v>
      </c>
      <c r="E14" s="326">
        <v>4451.5</v>
      </c>
      <c r="F14" s="326">
        <v>3542.8333333333335</v>
      </c>
      <c r="G14" s="326">
        <v>20324.833333333332</v>
      </c>
      <c r="H14" s="273">
        <f>AVERAGE(H7:H12)</f>
        <v>3512</v>
      </c>
      <c r="I14" s="273">
        <f t="shared" ref="I14:M14" si="2">AVERAGE(I7:I12)</f>
        <v>2411.1666666666665</v>
      </c>
      <c r="J14" s="273">
        <f t="shared" si="2"/>
        <v>5376.5</v>
      </c>
      <c r="K14" s="273">
        <f t="shared" si="2"/>
        <v>3729</v>
      </c>
      <c r="L14" s="273">
        <f t="shared" si="2"/>
        <v>3096</v>
      </c>
      <c r="M14" s="273">
        <f t="shared" si="2"/>
        <v>18124.666666666668</v>
      </c>
      <c r="N14" s="413">
        <f>(M14/G14)-1</f>
        <v>-0.10825017015309668</v>
      </c>
    </row>
    <row r="15" spans="1:14" ht="15.95" customHeight="1">
      <c r="A15" s="78" t="s">
        <v>25</v>
      </c>
      <c r="B15" s="364">
        <v>4919</v>
      </c>
      <c r="C15" s="364">
        <v>2181</v>
      </c>
      <c r="D15" s="364">
        <v>678</v>
      </c>
      <c r="E15" s="364">
        <v>4770</v>
      </c>
      <c r="F15" s="364">
        <v>1412</v>
      </c>
      <c r="G15" s="364">
        <v>13960</v>
      </c>
      <c r="H15" s="13">
        <f>'κατά επαρχία και φύλο το 2018'!B15+'κατά επαρχία και φύλο το 2018'!I15</f>
        <v>4818</v>
      </c>
      <c r="I15" s="13">
        <f>'κατά επαρχία και φύλο το 2018'!C15+'κατά επαρχία και φύλο το 2018'!J15</f>
        <v>2007</v>
      </c>
      <c r="J15" s="13">
        <f>'κατά επαρχία και φύλο το 2018'!D15+'κατά επαρχία και φύλο το 2018'!K15</f>
        <v>579</v>
      </c>
      <c r="K15" s="13">
        <f>'κατά επαρχία και φύλο το 2018'!E15+'κατά επαρχία και φύλο το 2018'!L15</f>
        <v>4326</v>
      </c>
      <c r="L15" s="13">
        <f>'κατά επαρχία και φύλο το 2018'!F15+'κατά επαρχία και φύλο το 2018'!M15</f>
        <v>1158</v>
      </c>
      <c r="M15" s="13">
        <f t="shared" ref="M15:M20" si="3">SUM(H15:L15)</f>
        <v>12888</v>
      </c>
      <c r="N15" s="345">
        <f t="shared" ref="N15:N19" si="4">+(M15/G15)-1</f>
        <v>-7.6790830945558719E-2</v>
      </c>
    </row>
    <row r="16" spans="1:14" ht="15.95" customHeight="1">
      <c r="A16" s="15" t="s">
        <v>7</v>
      </c>
      <c r="B16" s="360">
        <v>5009</v>
      </c>
      <c r="C16" s="360">
        <v>2133</v>
      </c>
      <c r="D16" s="360">
        <v>681</v>
      </c>
      <c r="E16" s="360">
        <v>4749</v>
      </c>
      <c r="F16" s="360">
        <v>1363</v>
      </c>
      <c r="G16" s="360">
        <v>13935</v>
      </c>
      <c r="H16" s="13">
        <f>'κατά επαρχία και φύλο το 2018'!B16+'κατά επαρχία και φύλο το 2018'!I16</f>
        <v>4913</v>
      </c>
      <c r="I16" s="13">
        <f>'κατά επαρχία και φύλο το 2018'!C16+'κατά επαρχία και φύλο το 2018'!J16</f>
        <v>2006</v>
      </c>
      <c r="J16" s="13">
        <f>'κατά επαρχία και φύλο το 2018'!D16+'κατά επαρχία και φύλο το 2018'!K16</f>
        <v>576</v>
      </c>
      <c r="K16" s="13">
        <f>'κατά επαρχία και φύλο το 2018'!E16+'κατά επαρχία και φύλο το 2018'!L16</f>
        <v>4325</v>
      </c>
      <c r="L16" s="13">
        <f>'κατά επαρχία και φύλο το 2018'!F16+'κατά επαρχία και φύλο το 2018'!M16</f>
        <v>1134</v>
      </c>
      <c r="M16" s="13">
        <f t="shared" si="3"/>
        <v>12954</v>
      </c>
      <c r="N16" s="350">
        <f t="shared" si="4"/>
        <v>-7.0398277717976354E-2</v>
      </c>
    </row>
    <row r="17" spans="1:20" ht="15.95" customHeight="1">
      <c r="A17" s="15" t="s">
        <v>26</v>
      </c>
      <c r="B17" s="360">
        <v>4268</v>
      </c>
      <c r="C17" s="360">
        <v>1830</v>
      </c>
      <c r="D17" s="360">
        <v>578</v>
      </c>
      <c r="E17" s="360">
        <v>4182</v>
      </c>
      <c r="F17" s="360">
        <v>1182</v>
      </c>
      <c r="G17" s="360">
        <v>12040</v>
      </c>
      <c r="H17" s="13">
        <f>'κατά επαρχία και φύλο το 2018'!B17+'κατά επαρχία και φύλο το 2018'!I17</f>
        <v>4810</v>
      </c>
      <c r="I17" s="13">
        <f>'κατά επαρχία και φύλο το 2018'!C17+'κατά επαρχία και φύλο το 2018'!J17</f>
        <v>1990</v>
      </c>
      <c r="J17" s="13">
        <f>'κατά επαρχία και φύλο το 2018'!D17+'κατά επαρχία και φύλο το 2018'!K17</f>
        <v>531</v>
      </c>
      <c r="K17" s="13">
        <f>'κατά επαρχία και φύλο το 2018'!E17+'κατά επαρχία και φύλο το 2018'!L17</f>
        <v>4391</v>
      </c>
      <c r="L17" s="13">
        <f>'κατά επαρχία και φύλο το 2018'!F17+'κατά επαρχία και φύλο το 2018'!M17</f>
        <v>1172</v>
      </c>
      <c r="M17" s="13">
        <f t="shared" si="3"/>
        <v>12894</v>
      </c>
      <c r="N17" s="350">
        <f t="shared" si="4"/>
        <v>7.0930232558139572E-2</v>
      </c>
    </row>
    <row r="18" spans="1:20" ht="15.95" customHeight="1">
      <c r="A18" s="15" t="s">
        <v>27</v>
      </c>
      <c r="B18" s="360">
        <v>3485</v>
      </c>
      <c r="C18" s="360">
        <v>1556</v>
      </c>
      <c r="D18" s="360">
        <v>683</v>
      </c>
      <c r="E18" s="360">
        <v>3483</v>
      </c>
      <c r="F18" s="360">
        <v>1109</v>
      </c>
      <c r="G18" s="360">
        <v>10316</v>
      </c>
      <c r="H18" s="13">
        <f>'κατά επαρχία και φύλο το 2018'!B18+'κατά επαρχία και φύλο το 2018'!I18</f>
        <v>3712</v>
      </c>
      <c r="I18" s="13">
        <f>'κατά επαρχία και φύλο το 2018'!C18+'κατά επαρχία και φύλο το 2018'!J18</f>
        <v>1601</v>
      </c>
      <c r="J18" s="13">
        <f>'κατά επαρχία και φύλο το 2018'!D18+'κατά επαρχία και φύλο το 2018'!K18</f>
        <v>713</v>
      </c>
      <c r="K18" s="13">
        <f>'κατά επαρχία και φύλο το 2018'!E18+'κατά επαρχία και φύλο το 2018'!L18</f>
        <v>3498</v>
      </c>
      <c r="L18" s="13">
        <f>'κατά επαρχία και φύλο το 2018'!F18+'κατά επαρχία και φύλο το 2018'!M18</f>
        <v>1050</v>
      </c>
      <c r="M18" s="13">
        <f t="shared" si="3"/>
        <v>10574</v>
      </c>
      <c r="N18" s="350">
        <f t="shared" si="4"/>
        <v>2.5009693679720835E-2</v>
      </c>
    </row>
    <row r="19" spans="1:20" ht="15.95" customHeight="1">
      <c r="A19" s="15" t="s">
        <v>28</v>
      </c>
      <c r="B19" s="360">
        <v>3378</v>
      </c>
      <c r="C19" s="360">
        <v>2405</v>
      </c>
      <c r="D19" s="360">
        <v>6508</v>
      </c>
      <c r="E19" s="360">
        <v>3684</v>
      </c>
      <c r="F19" s="360">
        <v>3092</v>
      </c>
      <c r="G19" s="360">
        <v>19067</v>
      </c>
      <c r="H19" s="13">
        <f>'κατά επαρχία και φύλο το 2018'!B19+'κατά επαρχία και φύλο το 2018'!I19</f>
        <v>3620</v>
      </c>
      <c r="I19" s="13">
        <f>'κατά επαρχία και φύλο το 2018'!C19+'κατά επαρχία και φύλο το 2018'!J19</f>
        <v>2658</v>
      </c>
      <c r="J19" s="13">
        <f>'κατά επαρχία και φύλο το 2018'!D19+'κατά επαρχία και φύλο το 2018'!K19</f>
        <v>7185</v>
      </c>
      <c r="K19" s="13">
        <f>'κατά επαρχία και φύλο το 2018'!E19+'κατά επαρχία και φύλο το 2018'!L19</f>
        <v>3595</v>
      </c>
      <c r="L19" s="13">
        <f>'κατά επαρχία και φύλο το 2018'!F19+'κατά επαρχία και φύλο το 2018'!M19</f>
        <v>3192</v>
      </c>
      <c r="M19" s="13">
        <f t="shared" si="3"/>
        <v>20250</v>
      </c>
      <c r="N19" s="350">
        <f t="shared" si="4"/>
        <v>6.2044369853673897E-2</v>
      </c>
    </row>
    <row r="20" spans="1:20" ht="15.95" customHeight="1" thickBot="1">
      <c r="A20" s="79" t="s">
        <v>29</v>
      </c>
      <c r="B20" s="361">
        <v>3670</v>
      </c>
      <c r="C20" s="361">
        <v>3081</v>
      </c>
      <c r="D20" s="361">
        <v>8142</v>
      </c>
      <c r="E20" s="361">
        <v>3975</v>
      </c>
      <c r="F20" s="361">
        <v>4798</v>
      </c>
      <c r="G20" s="361">
        <v>23666</v>
      </c>
      <c r="H20" s="13">
        <f>'κατά επαρχία και φύλο το 2018'!B20+'κατά επαρχία και φύλο το 2018'!I20</f>
        <v>3919</v>
      </c>
      <c r="I20" s="13">
        <f>'κατά επαρχία και φύλο το 2018'!C20+'κατά επαρχία και φύλο το 2018'!J20</f>
        <v>3214</v>
      </c>
      <c r="J20" s="13">
        <f>'κατά επαρχία και φύλο το 2018'!D20+'κατά επαρχία και φύλο το 2018'!K20</f>
        <v>8665</v>
      </c>
      <c r="K20" s="13">
        <f>'κατά επαρχία και φύλο το 2018'!E20+'κατά επαρχία και φύλο το 2018'!L20</f>
        <v>3869</v>
      </c>
      <c r="L20" s="13">
        <f>'κατά επαρχία και φύλο το 2018'!F20+'κατά επαρχία και φύλο το 2018'!M20</f>
        <v>4937</v>
      </c>
      <c r="M20" s="13">
        <f t="shared" si="3"/>
        <v>24604</v>
      </c>
      <c r="N20" s="327">
        <f>(M20/G20)-1</f>
        <v>3.963491929350127E-2</v>
      </c>
      <c r="Q20" s="325"/>
    </row>
    <row r="21" spans="1:20" ht="15.95" customHeight="1">
      <c r="A21" s="441" t="s">
        <v>42</v>
      </c>
      <c r="B21" s="363"/>
      <c r="C21" s="363"/>
      <c r="D21" s="363"/>
      <c r="E21" s="363"/>
      <c r="F21" s="363"/>
      <c r="G21" s="363"/>
      <c r="H21" s="271"/>
      <c r="I21" s="271"/>
      <c r="J21" s="271"/>
      <c r="K21" s="271"/>
      <c r="L21" s="271"/>
      <c r="M21" s="271"/>
      <c r="N21" s="297"/>
    </row>
    <row r="22" spans="1:20" ht="21" customHeight="1" thickBot="1">
      <c r="A22" s="438"/>
      <c r="B22" s="326">
        <v>4121.5</v>
      </c>
      <c r="C22" s="326">
        <v>2197.6666666666665</v>
      </c>
      <c r="D22" s="326">
        <v>2878.3333333333335</v>
      </c>
      <c r="E22" s="326">
        <v>4140.5</v>
      </c>
      <c r="F22" s="326">
        <v>2159.3333333333335</v>
      </c>
      <c r="G22" s="326">
        <v>15497.333333333334</v>
      </c>
      <c r="H22" s="273">
        <f>AVERAGE(H15:H20)</f>
        <v>4298.666666666667</v>
      </c>
      <c r="I22" s="273">
        <f t="shared" ref="I22:M22" si="5">AVERAGE(I15:I20)</f>
        <v>2246</v>
      </c>
      <c r="J22" s="273">
        <f t="shared" si="5"/>
        <v>3041.5</v>
      </c>
      <c r="K22" s="273">
        <f t="shared" si="5"/>
        <v>4000.6666666666665</v>
      </c>
      <c r="L22" s="273">
        <f t="shared" si="5"/>
        <v>2107.1666666666665</v>
      </c>
      <c r="M22" s="273">
        <f t="shared" si="5"/>
        <v>15694</v>
      </c>
      <c r="N22" s="298">
        <f>(M22/G22)-1</f>
        <v>1.269035532994911E-2</v>
      </c>
    </row>
    <row r="23" spans="1:20" ht="15.95" customHeight="1">
      <c r="A23" s="441" t="s">
        <v>47</v>
      </c>
      <c r="B23" s="365"/>
      <c r="C23" s="365"/>
      <c r="D23" s="365"/>
      <c r="E23" s="365"/>
      <c r="F23" s="365"/>
      <c r="G23" s="365"/>
      <c r="H23" s="274"/>
      <c r="I23" s="274"/>
      <c r="J23" s="274"/>
      <c r="K23" s="274"/>
      <c r="L23" s="274"/>
      <c r="M23" s="274"/>
      <c r="N23" s="275"/>
    </row>
    <row r="24" spans="1:20" ht="15.95" customHeight="1" thickBot="1">
      <c r="A24" s="438"/>
      <c r="B24" s="326">
        <v>4217.5833333333339</v>
      </c>
      <c r="C24" s="326">
        <v>2485.833333333333</v>
      </c>
      <c r="D24" s="326">
        <v>4060.583333333333</v>
      </c>
      <c r="E24" s="326">
        <v>4296</v>
      </c>
      <c r="F24" s="326">
        <v>2851.0833333333335</v>
      </c>
      <c r="G24" s="326">
        <v>17911.083333333332</v>
      </c>
      <c r="H24" s="326">
        <f>AVERAGE(H14,H22)</f>
        <v>3905.3333333333335</v>
      </c>
      <c r="I24" s="326">
        <f t="shared" ref="I24:M24" si="6">AVERAGE(I14,I22)</f>
        <v>2328.583333333333</v>
      </c>
      <c r="J24" s="326">
        <f t="shared" si="6"/>
        <v>4209</v>
      </c>
      <c r="K24" s="326">
        <f t="shared" si="6"/>
        <v>3864.833333333333</v>
      </c>
      <c r="L24" s="326">
        <f t="shared" si="6"/>
        <v>2601.583333333333</v>
      </c>
      <c r="M24" s="326">
        <f t="shared" si="6"/>
        <v>16909.333333333336</v>
      </c>
      <c r="N24" s="277">
        <f>(M24/G24)-1</f>
        <v>-5.5929056961936729E-2</v>
      </c>
      <c r="Q24" s="325"/>
    </row>
    <row r="25" spans="1:20">
      <c r="A25" s="9"/>
      <c r="B25" s="9"/>
      <c r="C25" s="10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</row>
    <row r="26" spans="1:20">
      <c r="A26" s="17"/>
      <c r="B26" s="10"/>
      <c r="C26" s="9"/>
      <c r="D26" s="9"/>
      <c r="E26" s="9"/>
      <c r="F26" s="9"/>
      <c r="G26" s="9"/>
      <c r="H26" s="9"/>
      <c r="I26" s="9"/>
      <c r="J26" s="1"/>
      <c r="K26" s="1"/>
      <c r="L26" s="1"/>
      <c r="M26" s="1"/>
      <c r="N26" s="1"/>
    </row>
    <row r="27" spans="1:20">
      <c r="A27" s="17"/>
      <c r="B27" s="10"/>
      <c r="C27" s="9"/>
      <c r="D27" s="9"/>
      <c r="E27" s="9"/>
      <c r="F27" s="9"/>
      <c r="G27" s="9"/>
      <c r="H27" s="9"/>
      <c r="I27" s="9"/>
      <c r="J27" s="1"/>
      <c r="K27" s="1"/>
      <c r="L27" s="1"/>
      <c r="M27" s="1"/>
      <c r="N27" s="1"/>
      <c r="O27" s="325"/>
      <c r="P27" s="325"/>
      <c r="Q27" s="325"/>
      <c r="R27" s="325"/>
      <c r="S27" s="325"/>
      <c r="T27" s="325"/>
    </row>
    <row r="28" spans="1:20">
      <c r="A28" s="1"/>
      <c r="B28" s="10"/>
      <c r="C28" s="9"/>
      <c r="D28" s="9"/>
      <c r="E28" s="9"/>
      <c r="F28" s="9"/>
      <c r="G28" s="9"/>
      <c r="H28" s="9"/>
      <c r="I28" s="9"/>
      <c r="J28" s="1"/>
      <c r="K28" s="1"/>
      <c r="L28" s="2" t="s">
        <v>12</v>
      </c>
      <c r="M28" s="1"/>
      <c r="N28" s="1"/>
    </row>
    <row r="29" spans="1:20">
      <c r="A29" s="31">
        <f>'κατά επαρχία και φύλο το 2018'!A28</f>
        <v>43521</v>
      </c>
      <c r="B29" s="10"/>
      <c r="C29" s="18"/>
      <c r="D29" s="9"/>
      <c r="E29" s="9"/>
      <c r="F29" s="9"/>
      <c r="G29" s="9"/>
      <c r="H29" s="9"/>
      <c r="I29" s="9"/>
      <c r="J29" s="1"/>
      <c r="K29" s="10" t="s">
        <v>11</v>
      </c>
      <c r="L29" s="2"/>
      <c r="M29" s="1"/>
      <c r="N29" s="1"/>
    </row>
  </sheetData>
  <mergeCells count="10">
    <mergeCell ref="L1:N1"/>
    <mergeCell ref="A13:A14"/>
    <mergeCell ref="A21:A22"/>
    <mergeCell ref="A23:A24"/>
    <mergeCell ref="A2:N2"/>
    <mergeCell ref="A3:N3"/>
    <mergeCell ref="B5:G5"/>
    <mergeCell ref="H5:M5"/>
    <mergeCell ref="A5:A6"/>
    <mergeCell ref="N5:N6"/>
  </mergeCells>
  <phoneticPr fontId="10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topLeftCell="A13" workbookViewId="0">
      <selection activeCell="P17" sqref="P17"/>
    </sheetView>
  </sheetViews>
  <sheetFormatPr defaultRowHeight="12.75"/>
  <cols>
    <col min="1" max="1" width="13.5703125" customWidth="1"/>
    <col min="2" max="11" width="10.7109375" customWidth="1"/>
  </cols>
  <sheetData>
    <row r="1" spans="1:14">
      <c r="A1" s="123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>
      <c r="A2" s="454" t="s">
        <v>101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37"/>
    </row>
    <row r="3" spans="1:14">
      <c r="A3" s="449" t="s">
        <v>138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2"/>
    </row>
    <row r="4" spans="1:14" ht="13.5" thickBo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2"/>
    </row>
    <row r="5" spans="1:14">
      <c r="A5" s="444" t="s">
        <v>0</v>
      </c>
      <c r="B5" s="464">
        <v>2017</v>
      </c>
      <c r="C5" s="459"/>
      <c r="D5" s="459"/>
      <c r="E5" s="459"/>
      <c r="F5" s="459"/>
      <c r="G5" s="458">
        <v>2018</v>
      </c>
      <c r="H5" s="459"/>
      <c r="I5" s="459"/>
      <c r="J5" s="459"/>
      <c r="K5" s="460"/>
      <c r="L5" s="8"/>
    </row>
    <row r="6" spans="1:14" ht="13.5" thickBot="1">
      <c r="A6" s="457"/>
      <c r="B6" s="465"/>
      <c r="C6" s="462"/>
      <c r="D6" s="462"/>
      <c r="E6" s="462"/>
      <c r="F6" s="462"/>
      <c r="G6" s="461"/>
      <c r="H6" s="462"/>
      <c r="I6" s="462"/>
      <c r="J6" s="462"/>
      <c r="K6" s="463"/>
      <c r="L6" s="10"/>
    </row>
    <row r="7" spans="1:14" ht="15.95" customHeight="1">
      <c r="A7" s="445"/>
      <c r="B7" s="27" t="s">
        <v>8</v>
      </c>
      <c r="C7" s="27" t="s">
        <v>10</v>
      </c>
      <c r="D7" s="27" t="s">
        <v>9</v>
      </c>
      <c r="E7" s="27" t="s">
        <v>10</v>
      </c>
      <c r="F7" s="388" t="s">
        <v>6</v>
      </c>
      <c r="G7" s="394" t="s">
        <v>8</v>
      </c>
      <c r="H7" s="27" t="s">
        <v>10</v>
      </c>
      <c r="I7" s="27" t="s">
        <v>9</v>
      </c>
      <c r="J7" s="27" t="s">
        <v>10</v>
      </c>
      <c r="K7" s="387" t="s">
        <v>6</v>
      </c>
      <c r="L7" s="9"/>
    </row>
    <row r="8" spans="1:14" ht="15.95" customHeight="1">
      <c r="A8" s="15" t="s">
        <v>19</v>
      </c>
      <c r="B8" s="360">
        <v>12181</v>
      </c>
      <c r="C8" s="366">
        <v>0.44764984748814818</v>
      </c>
      <c r="D8" s="360">
        <v>15030</v>
      </c>
      <c r="E8" s="366">
        <v>0.55235015251185182</v>
      </c>
      <c r="F8" s="389">
        <v>27211</v>
      </c>
      <c r="G8" s="15">
        <f>'κατά επαρχία και φύλο το 2018'!G7</f>
        <v>11410</v>
      </c>
      <c r="H8" s="189">
        <f t="shared" ref="H8:H13" si="0">+G8/K8</f>
        <v>0.4399629829567363</v>
      </c>
      <c r="I8" s="16">
        <f>'κατά επαρχία και φύλο το 2018'!N7</f>
        <v>14524</v>
      </c>
      <c r="J8" s="189">
        <f t="shared" ref="J8:J13" si="1">+I8/K8</f>
        <v>0.5600370170432637</v>
      </c>
      <c r="K8" s="73">
        <f t="shared" ref="K8:K13" si="2">SUM(G8+I8)</f>
        <v>25934</v>
      </c>
      <c r="L8" s="14"/>
    </row>
    <row r="9" spans="1:14" ht="15.95" customHeight="1">
      <c r="A9" s="15" t="s">
        <v>20</v>
      </c>
      <c r="B9" s="360">
        <v>11795</v>
      </c>
      <c r="C9" s="366">
        <v>0.44623940677966101</v>
      </c>
      <c r="D9" s="360">
        <v>14637</v>
      </c>
      <c r="E9" s="366">
        <v>0.55376059322033899</v>
      </c>
      <c r="F9" s="389">
        <v>26432</v>
      </c>
      <c r="G9" s="15">
        <f>'κατά επαρχία και φύλο το 2018'!G8</f>
        <v>9889</v>
      </c>
      <c r="H9" s="189">
        <f t="shared" si="0"/>
        <v>0.41787449820409889</v>
      </c>
      <c r="I9" s="16">
        <f>'κατά επαρχία και φύλο το 2018'!N8</f>
        <v>13776</v>
      </c>
      <c r="J9" s="189">
        <f t="shared" si="1"/>
        <v>0.58212550179590117</v>
      </c>
      <c r="K9" s="73">
        <f t="shared" si="2"/>
        <v>23665</v>
      </c>
      <c r="L9" s="14"/>
    </row>
    <row r="10" spans="1:14" ht="15.95" customHeight="1">
      <c r="A10" s="15" t="s">
        <v>21</v>
      </c>
      <c r="B10" s="360">
        <v>10885</v>
      </c>
      <c r="C10" s="366">
        <v>0.44537643207855976</v>
      </c>
      <c r="D10" s="360">
        <v>13555</v>
      </c>
      <c r="E10" s="366">
        <v>0.5546235679214403</v>
      </c>
      <c r="F10" s="389">
        <v>24440</v>
      </c>
      <c r="G10" s="15">
        <f>'κατά επαρχία και φύλο το 2018'!G9</f>
        <v>8900</v>
      </c>
      <c r="H10" s="189">
        <f t="shared" si="0"/>
        <v>0.42058503851424789</v>
      </c>
      <c r="I10" s="16">
        <f>'κατά επαρχία και φύλο το 2018'!N9</f>
        <v>12261</v>
      </c>
      <c r="J10" s="189">
        <f t="shared" si="1"/>
        <v>0.57941496148575211</v>
      </c>
      <c r="K10" s="73">
        <f t="shared" si="2"/>
        <v>21161</v>
      </c>
      <c r="L10" s="14"/>
    </row>
    <row r="11" spans="1:14" ht="15.95" customHeight="1">
      <c r="A11" s="15" t="s">
        <v>22</v>
      </c>
      <c r="B11" s="360">
        <v>8164</v>
      </c>
      <c r="C11" s="366">
        <v>0.45137391496655055</v>
      </c>
      <c r="D11" s="360">
        <v>9923</v>
      </c>
      <c r="E11" s="366">
        <v>0.54862608503344945</v>
      </c>
      <c r="F11" s="389">
        <v>18087</v>
      </c>
      <c r="G11" s="15">
        <f>'κατά επαρχία και φύλο το 2018'!G10</f>
        <v>7170</v>
      </c>
      <c r="H11" s="189">
        <f t="shared" si="0"/>
        <v>0.42579725636914306</v>
      </c>
      <c r="I11" s="16">
        <f>'κατά επαρχία και φύλο το 2018'!N10</f>
        <v>9669</v>
      </c>
      <c r="J11" s="189">
        <f t="shared" si="1"/>
        <v>0.57420274363085699</v>
      </c>
      <c r="K11" s="73">
        <f t="shared" si="2"/>
        <v>16839</v>
      </c>
      <c r="L11" s="14"/>
    </row>
    <row r="12" spans="1:14" ht="15.95" customHeight="1">
      <c r="A12" s="15" t="s">
        <v>23</v>
      </c>
      <c r="B12" s="360">
        <v>5794</v>
      </c>
      <c r="C12" s="366">
        <v>0.42966258806080831</v>
      </c>
      <c r="D12" s="360">
        <v>7691</v>
      </c>
      <c r="E12" s="366">
        <v>0.57033741193919174</v>
      </c>
      <c r="F12" s="389">
        <v>13485</v>
      </c>
      <c r="G12" s="15">
        <f>'κατά επαρχία και φύλο το 2018'!G11</f>
        <v>4328</v>
      </c>
      <c r="H12" s="189">
        <f t="shared" si="0"/>
        <v>0.42019417475728155</v>
      </c>
      <c r="I12" s="16">
        <f>'κατά επαρχία και φύλο το 2018'!N11</f>
        <v>5972</v>
      </c>
      <c r="J12" s="189">
        <f t="shared" si="1"/>
        <v>0.5798058252427184</v>
      </c>
      <c r="K12" s="73">
        <f t="shared" si="2"/>
        <v>10300</v>
      </c>
      <c r="L12" s="14"/>
    </row>
    <row r="13" spans="1:14" ht="15.95" customHeight="1" thickBot="1">
      <c r="A13" s="79" t="s">
        <v>24</v>
      </c>
      <c r="B13" s="361">
        <v>4584</v>
      </c>
      <c r="C13" s="367">
        <v>0.37286481210346512</v>
      </c>
      <c r="D13" s="361">
        <v>7710</v>
      </c>
      <c r="E13" s="367">
        <v>0.62713518789653488</v>
      </c>
      <c r="F13" s="390">
        <v>12294</v>
      </c>
      <c r="G13" s="15">
        <f>'κατά επαρχία και φύλο το 2018'!G12</f>
        <v>4016</v>
      </c>
      <c r="H13" s="189">
        <f t="shared" si="0"/>
        <v>0.3701723661166928</v>
      </c>
      <c r="I13" s="16">
        <f>'κατά επαρχία και φύλο το 2018'!N12</f>
        <v>6833</v>
      </c>
      <c r="J13" s="189">
        <f t="shared" si="1"/>
        <v>0.6298276338833072</v>
      </c>
      <c r="K13" s="73">
        <f t="shared" si="2"/>
        <v>10849</v>
      </c>
      <c r="L13" s="14"/>
    </row>
    <row r="14" spans="1:14" ht="15.95" customHeight="1">
      <c r="A14" s="455" t="s">
        <v>48</v>
      </c>
      <c r="B14" s="362"/>
      <c r="C14" s="363"/>
      <c r="D14" s="363"/>
      <c r="E14" s="363"/>
      <c r="F14" s="391"/>
      <c r="G14" s="395"/>
      <c r="H14" s="271"/>
      <c r="I14" s="271"/>
      <c r="J14" s="271"/>
      <c r="K14" s="278"/>
      <c r="L14" s="9"/>
    </row>
    <row r="15" spans="1:14" ht="22.5" customHeight="1" thickBot="1">
      <c r="A15" s="456"/>
      <c r="B15" s="326">
        <v>8900.5</v>
      </c>
      <c r="C15" s="368">
        <v>0.4379125700087742</v>
      </c>
      <c r="D15" s="326">
        <v>11424.333333333334</v>
      </c>
      <c r="E15" s="368">
        <v>0.56208742999122585</v>
      </c>
      <c r="F15" s="392">
        <v>20324.833333333332</v>
      </c>
      <c r="G15" s="396">
        <f>AVERAGE(G8:G13)</f>
        <v>7618.833333333333</v>
      </c>
      <c r="H15" s="279">
        <f>(G15/K15)</f>
        <v>0.4203571559936734</v>
      </c>
      <c r="I15" s="273">
        <f>AVERAGE(I8:I13)</f>
        <v>10505.833333333334</v>
      </c>
      <c r="J15" s="279">
        <f>(I15/K15)</f>
        <v>0.5796428440063266</v>
      </c>
      <c r="K15" s="280">
        <f>AVERAGE(K8:K13)</f>
        <v>18124.666666666668</v>
      </c>
      <c r="L15" s="14"/>
      <c r="N15" s="330"/>
    </row>
    <row r="16" spans="1:14" ht="15.95" customHeight="1">
      <c r="A16" s="78" t="s">
        <v>25</v>
      </c>
      <c r="B16" s="364">
        <v>4726</v>
      </c>
      <c r="C16" s="369">
        <v>0.33853868194842407</v>
      </c>
      <c r="D16" s="364">
        <v>9234</v>
      </c>
      <c r="E16" s="369">
        <v>0.66146131805157593</v>
      </c>
      <c r="F16" s="393">
        <v>13960</v>
      </c>
      <c r="G16" s="78">
        <f>'κατά επαρχία και φύλο το 2018'!G15</f>
        <v>4272</v>
      </c>
      <c r="H16" s="347">
        <f t="shared" ref="H16:H21" si="3">+G16/K16</f>
        <v>0.33147113594040967</v>
      </c>
      <c r="I16" s="13">
        <f>'κατά επαρχία και φύλο το 2018'!N15</f>
        <v>8616</v>
      </c>
      <c r="J16" s="12">
        <f t="shared" ref="J16:J21" si="4">+I16/K16</f>
        <v>0.66852886405959033</v>
      </c>
      <c r="K16" s="399">
        <f t="shared" ref="K16:K21" si="5">SUM(G16+I16)</f>
        <v>12888</v>
      </c>
      <c r="L16" s="14"/>
      <c r="N16" s="330"/>
    </row>
    <row r="17" spans="1:19" ht="15.95" customHeight="1">
      <c r="A17" s="15" t="s">
        <v>7</v>
      </c>
      <c r="B17" s="360">
        <v>4617</v>
      </c>
      <c r="C17" s="366">
        <v>0.33132400430570508</v>
      </c>
      <c r="D17" s="360">
        <v>9318</v>
      </c>
      <c r="E17" s="366">
        <v>0.66867599569429492</v>
      </c>
      <c r="F17" s="389">
        <v>13935</v>
      </c>
      <c r="G17" s="78">
        <f>'κατά επαρχία και φύλο το 2018'!G16</f>
        <v>4193</v>
      </c>
      <c r="H17" s="348">
        <f t="shared" si="3"/>
        <v>0.32368380423035353</v>
      </c>
      <c r="I17" s="13">
        <f>'κατά επαρχία και φύλο το 2018'!N16</f>
        <v>8761</v>
      </c>
      <c r="J17" s="12">
        <f t="shared" si="4"/>
        <v>0.67631619576964641</v>
      </c>
      <c r="K17" s="73">
        <f t="shared" si="5"/>
        <v>12954</v>
      </c>
      <c r="L17" s="14"/>
    </row>
    <row r="18" spans="1:19" ht="15.95" customHeight="1">
      <c r="A18" s="15" t="s">
        <v>26</v>
      </c>
      <c r="B18" s="360">
        <v>4365</v>
      </c>
      <c r="C18" s="366">
        <v>0.36254152823920266</v>
      </c>
      <c r="D18" s="360">
        <v>7675</v>
      </c>
      <c r="E18" s="366">
        <v>0.6374584717607974</v>
      </c>
      <c r="F18" s="389">
        <v>12040</v>
      </c>
      <c r="G18" s="78">
        <f>'κατά επαρχία και φύλο το 2018'!G17</f>
        <v>4391</v>
      </c>
      <c r="H18" s="348">
        <f t="shared" si="3"/>
        <v>0.34054599038312394</v>
      </c>
      <c r="I18" s="13">
        <f>'κατά επαρχία και φύλο το 2018'!N17</f>
        <v>8503</v>
      </c>
      <c r="J18" s="12">
        <f t="shared" si="4"/>
        <v>0.65945400961687606</v>
      </c>
      <c r="K18" s="73">
        <f t="shared" si="5"/>
        <v>12894</v>
      </c>
      <c r="L18" s="14"/>
    </row>
    <row r="19" spans="1:19" ht="15.95" customHeight="1">
      <c r="A19" s="15" t="s">
        <v>27</v>
      </c>
      <c r="B19" s="360">
        <v>4231</v>
      </c>
      <c r="C19" s="366">
        <v>0.41013958898797986</v>
      </c>
      <c r="D19" s="360">
        <v>6085</v>
      </c>
      <c r="E19" s="366">
        <v>0.58986041101202014</v>
      </c>
      <c r="F19" s="389">
        <v>10316</v>
      </c>
      <c r="G19" s="78">
        <f>'κατά επαρχία και φύλο το 2018'!G18</f>
        <v>4360</v>
      </c>
      <c r="H19" s="348">
        <f t="shared" si="3"/>
        <v>0.41233213542651787</v>
      </c>
      <c r="I19" s="13">
        <f>'κατά επαρχία και φύλο το 2018'!N18</f>
        <v>6214</v>
      </c>
      <c r="J19" s="12">
        <f t="shared" si="4"/>
        <v>0.58766786457348208</v>
      </c>
      <c r="K19" s="73">
        <f t="shared" si="5"/>
        <v>10574</v>
      </c>
      <c r="L19" s="14"/>
    </row>
    <row r="20" spans="1:19" ht="15.95" customHeight="1">
      <c r="A20" s="15" t="s">
        <v>28</v>
      </c>
      <c r="B20" s="360">
        <v>8044</v>
      </c>
      <c r="C20" s="366">
        <v>0.42188073635076312</v>
      </c>
      <c r="D20" s="360">
        <v>11023</v>
      </c>
      <c r="E20" s="366">
        <v>0.57811926364923694</v>
      </c>
      <c r="F20" s="389">
        <v>19067</v>
      </c>
      <c r="G20" s="78">
        <f>'κατά επαρχία και φύλο το 2018'!G19</f>
        <v>8620</v>
      </c>
      <c r="H20" s="348">
        <f t="shared" si="3"/>
        <v>0.42567901234567901</v>
      </c>
      <c r="I20" s="13">
        <f>'κατά επαρχία και φύλο το 2018'!N19</f>
        <v>11630</v>
      </c>
      <c r="J20" s="12">
        <f t="shared" si="4"/>
        <v>0.57432098765432094</v>
      </c>
      <c r="K20" s="73">
        <f t="shared" si="5"/>
        <v>20250</v>
      </c>
      <c r="L20" s="14"/>
    </row>
    <row r="21" spans="1:19" ht="15.95" customHeight="1" thickBot="1">
      <c r="A21" s="79" t="s">
        <v>29</v>
      </c>
      <c r="B21" s="361">
        <v>10400</v>
      </c>
      <c r="C21" s="367">
        <v>0.4394489985633398</v>
      </c>
      <c r="D21" s="361">
        <v>13266</v>
      </c>
      <c r="E21" s="367">
        <v>0.56055100143666015</v>
      </c>
      <c r="F21" s="390">
        <v>23666</v>
      </c>
      <c r="G21" s="78">
        <f>'κατά επαρχία και φύλο το 2018'!G20</f>
        <v>10742</v>
      </c>
      <c r="H21" s="348">
        <f t="shared" si="3"/>
        <v>0.43659567549991873</v>
      </c>
      <c r="I21" s="13">
        <f>'κατά επαρχία και φύλο το 2018'!N20</f>
        <v>13862</v>
      </c>
      <c r="J21" s="12">
        <f t="shared" si="4"/>
        <v>0.56340432450008127</v>
      </c>
      <c r="K21" s="73">
        <f t="shared" si="5"/>
        <v>24604</v>
      </c>
      <c r="L21" s="14"/>
    </row>
    <row r="22" spans="1:19" ht="15.95" customHeight="1">
      <c r="A22" s="455" t="s">
        <v>46</v>
      </c>
      <c r="B22" s="363"/>
      <c r="C22" s="363"/>
      <c r="D22" s="363"/>
      <c r="E22" s="363"/>
      <c r="F22" s="391"/>
      <c r="G22" s="397"/>
      <c r="H22" s="300"/>
      <c r="I22" s="271"/>
      <c r="J22" s="300"/>
      <c r="K22" s="278"/>
      <c r="L22" s="11"/>
    </row>
    <row r="23" spans="1:19" ht="32.25" customHeight="1" thickBot="1">
      <c r="A23" s="456"/>
      <c r="B23" s="434">
        <v>6063.833333333333</v>
      </c>
      <c r="C23" s="435">
        <v>0.39128237116062975</v>
      </c>
      <c r="D23" s="434">
        <v>9433.5</v>
      </c>
      <c r="E23" s="435">
        <v>0.6087176288393702</v>
      </c>
      <c r="F23" s="436">
        <v>15497.333333333334</v>
      </c>
      <c r="G23" s="430">
        <f>AVERAGE(G16:G21)</f>
        <v>6096.333333333333</v>
      </c>
      <c r="H23" s="431">
        <f>G23/K23</f>
        <v>0.38844993840533537</v>
      </c>
      <c r="I23" s="432">
        <f t="shared" ref="I23:K23" si="6">AVERAGE(I16:I21)</f>
        <v>9597.6666666666661</v>
      </c>
      <c r="J23" s="431">
        <f>I23/K23</f>
        <v>0.61155006159466463</v>
      </c>
      <c r="K23" s="433">
        <f t="shared" si="6"/>
        <v>15694</v>
      </c>
      <c r="L23" s="14"/>
      <c r="O23" s="325"/>
      <c r="P23" s="325"/>
      <c r="Q23" s="325"/>
      <c r="R23" s="325"/>
      <c r="S23" s="325"/>
    </row>
    <row r="24" spans="1:19" ht="15.95" customHeight="1">
      <c r="A24" s="437" t="s">
        <v>47</v>
      </c>
      <c r="B24" s="363"/>
      <c r="C24" s="363"/>
      <c r="D24" s="363"/>
      <c r="E24" s="363"/>
      <c r="F24" s="391"/>
      <c r="G24" s="424"/>
      <c r="H24" s="299"/>
      <c r="I24" s="425"/>
      <c r="J24" s="425"/>
      <c r="K24" s="398"/>
      <c r="L24" s="11"/>
    </row>
    <row r="25" spans="1:19" ht="31.5" customHeight="1" thickBot="1">
      <c r="A25" s="438"/>
      <c r="B25" s="326">
        <v>7482.1666666666661</v>
      </c>
      <c r="C25" s="368">
        <v>0.4177394816058958</v>
      </c>
      <c r="D25" s="326">
        <v>10428.916666666668</v>
      </c>
      <c r="E25" s="368">
        <v>0.58226051839410431</v>
      </c>
      <c r="F25" s="392">
        <v>17911.083333333332</v>
      </c>
      <c r="G25" s="396">
        <f>AVERAGE(G15,G23)</f>
        <v>6857.583333333333</v>
      </c>
      <c r="H25" s="279">
        <f>G25/K25</f>
        <v>0.40555018924459857</v>
      </c>
      <c r="I25" s="273">
        <f>AVERAGE(I15,I23)</f>
        <v>10051.75</v>
      </c>
      <c r="J25" s="279">
        <f>I25/K25</f>
        <v>0.59444981075540126</v>
      </c>
      <c r="K25" s="280">
        <f>AVERAGE(K15,K23)</f>
        <v>16909.333333333336</v>
      </c>
      <c r="L25" s="14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1"/>
    </row>
    <row r="27" spans="1:19" ht="14.25">
      <c r="A27" s="7"/>
      <c r="B27" s="1"/>
      <c r="C27" s="1"/>
      <c r="D27" s="1"/>
      <c r="E27" s="1"/>
      <c r="F27" s="1"/>
      <c r="G27" s="1"/>
      <c r="H27" s="429">
        <f>AVERAGE(H15,H23)</f>
        <v>0.40440354719950439</v>
      </c>
      <c r="I27" s="1"/>
      <c r="J27" s="1"/>
      <c r="K27" s="1"/>
    </row>
    <row r="28" spans="1:19">
      <c r="A28" s="1"/>
      <c r="B28" s="1"/>
      <c r="C28" s="1"/>
      <c r="D28" s="1"/>
      <c r="E28" s="1"/>
      <c r="F28" s="1"/>
      <c r="G28" s="1"/>
      <c r="H28" s="55"/>
      <c r="I28" s="56" t="s">
        <v>12</v>
      </c>
      <c r="J28" s="55"/>
      <c r="K28" s="1"/>
    </row>
    <row r="29" spans="1:19">
      <c r="A29" s="31">
        <f>'κατά επαρχία,  μήνα 2017,2018'!A29</f>
        <v>43521</v>
      </c>
      <c r="B29" s="1"/>
      <c r="C29" s="1"/>
      <c r="D29" s="1"/>
      <c r="E29" s="1"/>
      <c r="F29" s="1"/>
      <c r="G29" s="1"/>
      <c r="H29" s="453" t="s">
        <v>11</v>
      </c>
      <c r="I29" s="453"/>
      <c r="J29" s="453"/>
      <c r="K29" s="453"/>
    </row>
    <row r="30" spans="1:19">
      <c r="A30" s="4"/>
      <c r="B30" s="1"/>
      <c r="C30" s="1"/>
      <c r="D30" s="1"/>
      <c r="E30" s="1"/>
      <c r="F30" s="4"/>
      <c r="G30" s="4"/>
      <c r="H30" s="1"/>
      <c r="I30" s="24"/>
      <c r="J30" s="1"/>
      <c r="K30" s="1"/>
    </row>
    <row r="31" spans="1:19">
      <c r="A31" s="23"/>
      <c r="B31" s="1"/>
      <c r="C31" s="1"/>
      <c r="D31" s="1"/>
      <c r="E31" s="1"/>
      <c r="F31" s="1"/>
      <c r="G31" s="1"/>
      <c r="H31" s="24"/>
      <c r="I31" s="24"/>
      <c r="J31" s="4"/>
      <c r="K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">
    <mergeCell ref="H29:K29"/>
    <mergeCell ref="A2:K2"/>
    <mergeCell ref="A3:K3"/>
    <mergeCell ref="A14:A15"/>
    <mergeCell ref="A22:A23"/>
    <mergeCell ref="A24:A25"/>
    <mergeCell ref="A5:A7"/>
    <mergeCell ref="G5:K6"/>
    <mergeCell ref="B5:F6"/>
  </mergeCells>
  <phoneticPr fontId="0" type="noConversion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workbookViewId="0">
      <selection activeCell="AC12" sqref="AC12"/>
    </sheetView>
  </sheetViews>
  <sheetFormatPr defaultRowHeight="12.75"/>
  <cols>
    <col min="1" max="1" width="16.42578125" customWidth="1"/>
    <col min="2" max="2" width="5" bestFit="1" customWidth="1"/>
    <col min="3" max="9" width="6" bestFit="1" customWidth="1"/>
    <col min="10" max="10" width="6.7109375" bestFit="1" customWidth="1"/>
    <col min="11" max="20" width="6" bestFit="1" customWidth="1"/>
    <col min="21" max="23" width="6" customWidth="1"/>
    <col min="24" max="24" width="6" style="312" customWidth="1"/>
    <col min="25" max="25" width="6" bestFit="1" customWidth="1"/>
    <col min="26" max="26" width="11.140625" bestFit="1" customWidth="1"/>
  </cols>
  <sheetData>
    <row r="1" spans="1:26" ht="12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Y1" s="312"/>
      <c r="Z1" s="312"/>
    </row>
    <row r="2" spans="1:26" ht="19.5" customHeight="1">
      <c r="A2" s="122" t="s">
        <v>98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Y2" s="312"/>
      <c r="Z2" s="312"/>
    </row>
    <row r="3" spans="1:26" s="4" customFormat="1" ht="29.25" customHeight="1">
      <c r="A3" s="467" t="s">
        <v>140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</row>
    <row r="4" spans="1:26" ht="15.75" thickBot="1">
      <c r="A4" s="7"/>
      <c r="B4" s="7"/>
      <c r="C4" s="7"/>
      <c r="D4" s="7"/>
      <c r="E4" s="7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26" ht="25.5" customHeight="1">
      <c r="A5" s="190" t="s">
        <v>0</v>
      </c>
      <c r="B5" s="191">
        <v>1995</v>
      </c>
      <c r="C5" s="191">
        <v>1996</v>
      </c>
      <c r="D5" s="191">
        <v>1997</v>
      </c>
      <c r="E5" s="191">
        <v>1998</v>
      </c>
      <c r="F5" s="191">
        <v>1999</v>
      </c>
      <c r="G5" s="191">
        <v>2000</v>
      </c>
      <c r="H5" s="191">
        <v>2001</v>
      </c>
      <c r="I5" s="192">
        <v>2002</v>
      </c>
      <c r="J5" s="192">
        <v>2003</v>
      </c>
      <c r="K5" s="192">
        <v>2004</v>
      </c>
      <c r="L5" s="192">
        <v>2005</v>
      </c>
      <c r="M5" s="192">
        <v>2006</v>
      </c>
      <c r="N5" s="192">
        <v>2007</v>
      </c>
      <c r="O5" s="192">
        <v>2008</v>
      </c>
      <c r="P5" s="192">
        <v>2009</v>
      </c>
      <c r="Q5" s="192">
        <v>2010</v>
      </c>
      <c r="R5" s="192">
        <v>2011</v>
      </c>
      <c r="S5" s="192">
        <v>2012</v>
      </c>
      <c r="T5" s="192">
        <v>2013</v>
      </c>
      <c r="U5" s="192">
        <v>2014</v>
      </c>
      <c r="V5" s="192">
        <v>2015</v>
      </c>
      <c r="W5" s="192">
        <v>2016</v>
      </c>
      <c r="X5" s="192">
        <v>2017</v>
      </c>
      <c r="Y5" s="193">
        <v>2018</v>
      </c>
      <c r="Z5" s="194" t="s">
        <v>139</v>
      </c>
    </row>
    <row r="6" spans="1:26" ht="18" customHeight="1">
      <c r="A6" s="15" t="s">
        <v>19</v>
      </c>
      <c r="B6" s="52">
        <v>9930</v>
      </c>
      <c r="C6" s="52">
        <v>11018</v>
      </c>
      <c r="D6" s="52">
        <v>13246</v>
      </c>
      <c r="E6" s="52">
        <v>11830</v>
      </c>
      <c r="F6" s="52">
        <v>14649</v>
      </c>
      <c r="G6" s="52">
        <v>14167</v>
      </c>
      <c r="H6" s="52">
        <f>15282-717</f>
        <v>14565</v>
      </c>
      <c r="I6" s="52">
        <v>14545</v>
      </c>
      <c r="J6" s="195">
        <v>15305</v>
      </c>
      <c r="K6" s="195">
        <v>15193</v>
      </c>
      <c r="L6" s="41">
        <v>18220</v>
      </c>
      <c r="M6" s="41">
        <v>18391</v>
      </c>
      <c r="N6" s="41">
        <v>18001</v>
      </c>
      <c r="O6" s="41">
        <v>16578</v>
      </c>
      <c r="P6" s="41">
        <v>18238</v>
      </c>
      <c r="Q6" s="41">
        <v>24817</v>
      </c>
      <c r="R6" s="41">
        <v>26664</v>
      </c>
      <c r="S6" s="41">
        <v>32281</v>
      </c>
      <c r="T6" s="41">
        <v>36466</v>
      </c>
      <c r="U6" s="41">
        <v>38333</v>
      </c>
      <c r="V6" s="41">
        <v>31236</v>
      </c>
      <c r="W6" s="41">
        <v>28120</v>
      </c>
      <c r="X6" s="308">
        <v>27211</v>
      </c>
      <c r="Y6" s="41">
        <f>'κατά φύλο, μήνα 2017,2018'!K8</f>
        <v>25934</v>
      </c>
      <c r="Z6" s="196">
        <f t="shared" ref="Z6:Z12" si="0">(Y6/X6)-1</f>
        <v>-4.6929550549410171E-2</v>
      </c>
    </row>
    <row r="7" spans="1:26" ht="18" customHeight="1">
      <c r="A7" s="15" t="s">
        <v>20</v>
      </c>
      <c r="B7" s="52">
        <v>9756</v>
      </c>
      <c r="C7" s="52">
        <v>11053</v>
      </c>
      <c r="D7" s="52">
        <v>12655</v>
      </c>
      <c r="E7" s="52">
        <v>12110</v>
      </c>
      <c r="F7" s="52">
        <v>14815</v>
      </c>
      <c r="G7" s="52">
        <f>15542-1303</f>
        <v>14239</v>
      </c>
      <c r="H7" s="52">
        <v>14236</v>
      </c>
      <c r="I7" s="52">
        <v>14539</v>
      </c>
      <c r="J7" s="52">
        <v>15608</v>
      </c>
      <c r="K7" s="52">
        <v>15554</v>
      </c>
      <c r="L7" s="41">
        <v>17868</v>
      </c>
      <c r="M7" s="41">
        <v>17832</v>
      </c>
      <c r="N7" s="41">
        <v>17372</v>
      </c>
      <c r="O7" s="41">
        <v>15781</v>
      </c>
      <c r="P7" s="41">
        <v>18809</v>
      </c>
      <c r="Q7" s="41">
        <v>24511</v>
      </c>
      <c r="R7" s="41">
        <v>26506</v>
      </c>
      <c r="S7" s="41">
        <v>32291</v>
      </c>
      <c r="T7" s="85">
        <v>36211</v>
      </c>
      <c r="U7" s="85">
        <v>36901</v>
      </c>
      <c r="V7" s="85">
        <v>30900</v>
      </c>
      <c r="W7" s="85">
        <v>28003</v>
      </c>
      <c r="X7" s="370">
        <v>26432</v>
      </c>
      <c r="Y7" s="41">
        <f>'κατά φύλο, μήνα 2017,2018'!K9</f>
        <v>23665</v>
      </c>
      <c r="Z7" s="196">
        <f t="shared" si="0"/>
        <v>-0.10468371670702181</v>
      </c>
    </row>
    <row r="8" spans="1:26" ht="18" customHeight="1">
      <c r="A8" s="15" t="s">
        <v>21</v>
      </c>
      <c r="B8" s="52">
        <v>8180</v>
      </c>
      <c r="C8" s="52">
        <v>9737</v>
      </c>
      <c r="D8" s="52">
        <v>11429</v>
      </c>
      <c r="E8" s="52">
        <v>12131</v>
      </c>
      <c r="F8" s="52">
        <v>14042</v>
      </c>
      <c r="G8" s="52">
        <v>13613</v>
      </c>
      <c r="H8" s="52">
        <f>13932-661</f>
        <v>13271</v>
      </c>
      <c r="I8" s="52">
        <v>13023</v>
      </c>
      <c r="J8" s="52">
        <v>14691</v>
      </c>
      <c r="K8" s="52">
        <v>14131</v>
      </c>
      <c r="L8" s="41">
        <v>16725</v>
      </c>
      <c r="M8" s="41">
        <v>16958</v>
      </c>
      <c r="N8" s="41">
        <v>16224</v>
      </c>
      <c r="O8" s="41">
        <v>14766</v>
      </c>
      <c r="P8" s="41">
        <v>18544</v>
      </c>
      <c r="Q8" s="41">
        <v>24127</v>
      </c>
      <c r="R8" s="41">
        <v>25390</v>
      </c>
      <c r="S8" s="85">
        <v>31796</v>
      </c>
      <c r="T8" s="85">
        <v>35234</v>
      </c>
      <c r="U8" s="85">
        <v>35016</v>
      </c>
      <c r="V8" s="85">
        <v>30314</v>
      </c>
      <c r="W8" s="85">
        <v>25337</v>
      </c>
      <c r="X8" s="370">
        <v>24440</v>
      </c>
      <c r="Y8" s="41">
        <f>'κατά φύλο, μήνα 2017,2018'!K10</f>
        <v>21161</v>
      </c>
      <c r="Z8" s="196">
        <f t="shared" si="0"/>
        <v>-0.13416530278232408</v>
      </c>
    </row>
    <row r="9" spans="1:26" ht="18" customHeight="1">
      <c r="A9" s="15" t="s">
        <v>22</v>
      </c>
      <c r="B9" s="52">
        <v>4784</v>
      </c>
      <c r="C9" s="52">
        <v>6373</v>
      </c>
      <c r="D9" s="52">
        <v>7704</v>
      </c>
      <c r="E9" s="52">
        <v>7688</v>
      </c>
      <c r="F9" s="52">
        <v>8442</v>
      </c>
      <c r="G9" s="52">
        <f>9893-687</f>
        <v>9206</v>
      </c>
      <c r="H9" s="52">
        <f>9015-407</f>
        <v>8608</v>
      </c>
      <c r="I9" s="52">
        <v>7645</v>
      </c>
      <c r="J9" s="53" t="s">
        <v>18</v>
      </c>
      <c r="K9" s="52">
        <v>8906</v>
      </c>
      <c r="L9" s="41">
        <v>11089</v>
      </c>
      <c r="M9" s="41">
        <v>12239</v>
      </c>
      <c r="N9" s="41">
        <v>11566</v>
      </c>
      <c r="O9" s="41">
        <v>10318</v>
      </c>
      <c r="P9" s="41">
        <v>14862</v>
      </c>
      <c r="Q9" s="41">
        <v>18931</v>
      </c>
      <c r="R9" s="41">
        <v>21153</v>
      </c>
      <c r="S9" s="41">
        <v>27901</v>
      </c>
      <c r="T9" s="85">
        <v>31887</v>
      </c>
      <c r="U9" s="85">
        <v>28218</v>
      </c>
      <c r="V9" s="85">
        <v>22988</v>
      </c>
      <c r="W9" s="85">
        <v>18731</v>
      </c>
      <c r="X9" s="370">
        <v>18087</v>
      </c>
      <c r="Y9" s="41">
        <f>'κατά φύλο, μήνα 2017,2018'!K11</f>
        <v>16839</v>
      </c>
      <c r="Z9" s="196">
        <f t="shared" si="0"/>
        <v>-6.8999834135014093E-2</v>
      </c>
    </row>
    <row r="10" spans="1:26" ht="18" customHeight="1">
      <c r="A10" s="15" t="s">
        <v>23</v>
      </c>
      <c r="B10" s="52">
        <v>4863</v>
      </c>
      <c r="C10" s="52">
        <v>6134</v>
      </c>
      <c r="D10" s="52">
        <v>7510</v>
      </c>
      <c r="E10" s="52">
        <v>7129</v>
      </c>
      <c r="F10" s="52">
        <v>7827</v>
      </c>
      <c r="G10" s="52">
        <v>8703</v>
      </c>
      <c r="H10" s="52">
        <f>8652-291</f>
        <v>8361</v>
      </c>
      <c r="I10" s="52">
        <v>6862</v>
      </c>
      <c r="J10" s="52">
        <v>8573</v>
      </c>
      <c r="K10" s="52">
        <v>7739</v>
      </c>
      <c r="L10" s="41">
        <v>10521</v>
      </c>
      <c r="M10" s="41">
        <v>10922</v>
      </c>
      <c r="N10" s="41">
        <v>9409</v>
      </c>
      <c r="O10" s="41">
        <v>8802</v>
      </c>
      <c r="P10" s="41">
        <v>13253</v>
      </c>
      <c r="Q10" s="41">
        <v>16873</v>
      </c>
      <c r="R10" s="41">
        <v>18627</v>
      </c>
      <c r="S10" s="41">
        <v>24512</v>
      </c>
      <c r="T10" s="85">
        <v>27981</v>
      </c>
      <c r="U10" s="85">
        <v>23335</v>
      </c>
      <c r="V10" s="85">
        <v>17637</v>
      </c>
      <c r="W10" s="85">
        <v>14730</v>
      </c>
      <c r="X10" s="370">
        <v>13485</v>
      </c>
      <c r="Y10" s="41">
        <f>'κατά φύλο, μήνα 2017,2018'!K12</f>
        <v>10300</v>
      </c>
      <c r="Z10" s="196">
        <f t="shared" si="0"/>
        <v>-0.23618835743418609</v>
      </c>
    </row>
    <row r="11" spans="1:26" ht="18" customHeight="1" thickBot="1">
      <c r="A11" s="79" t="s">
        <v>24</v>
      </c>
      <c r="B11" s="116">
        <v>5189</v>
      </c>
      <c r="C11" s="116">
        <v>6841</v>
      </c>
      <c r="D11" s="116">
        <v>7867</v>
      </c>
      <c r="E11" s="116">
        <v>7712</v>
      </c>
      <c r="F11" s="116">
        <v>8201</v>
      </c>
      <c r="G11" s="116">
        <v>8720</v>
      </c>
      <c r="H11" s="116">
        <f>8952-233</f>
        <v>8719</v>
      </c>
      <c r="I11" s="116">
        <v>7303</v>
      </c>
      <c r="J11" s="116">
        <v>8243</v>
      </c>
      <c r="K11" s="116">
        <v>8029</v>
      </c>
      <c r="L11" s="117">
        <v>10762</v>
      </c>
      <c r="M11" s="117">
        <v>10769</v>
      </c>
      <c r="N11" s="117">
        <v>9820</v>
      </c>
      <c r="O11" s="117">
        <v>9044</v>
      </c>
      <c r="P11" s="117">
        <v>14394</v>
      </c>
      <c r="Q11" s="117">
        <v>17593</v>
      </c>
      <c r="R11" s="117">
        <v>19276</v>
      </c>
      <c r="S11" s="118">
        <v>24090</v>
      </c>
      <c r="T11" s="118">
        <v>28290</v>
      </c>
      <c r="U11" s="118">
        <v>22958</v>
      </c>
      <c r="V11" s="118">
        <v>17842</v>
      </c>
      <c r="W11" s="118">
        <v>13962</v>
      </c>
      <c r="X11" s="371">
        <v>12294</v>
      </c>
      <c r="Y11" s="41">
        <f>'κατά φύλο, μήνα 2017,2018'!K13</f>
        <v>10849</v>
      </c>
      <c r="Z11" s="196">
        <f t="shared" si="0"/>
        <v>-0.11753700992353999</v>
      </c>
    </row>
    <row r="12" spans="1:26" ht="38.25" customHeight="1" thickBot="1">
      <c r="A12" s="197" t="s">
        <v>44</v>
      </c>
      <c r="B12" s="120">
        <f t="shared" ref="B12:L12" si="1">AVERAGE(B6:B11)</f>
        <v>7117</v>
      </c>
      <c r="C12" s="120">
        <f t="shared" si="1"/>
        <v>8526</v>
      </c>
      <c r="D12" s="120">
        <f t="shared" si="1"/>
        <v>10068.5</v>
      </c>
      <c r="E12" s="120">
        <f t="shared" si="1"/>
        <v>9766.6666666666661</v>
      </c>
      <c r="F12" s="120">
        <f t="shared" si="1"/>
        <v>11329.333333333334</v>
      </c>
      <c r="G12" s="120">
        <f t="shared" si="1"/>
        <v>11441.333333333334</v>
      </c>
      <c r="H12" s="120">
        <f t="shared" si="1"/>
        <v>11293.333333333334</v>
      </c>
      <c r="I12" s="120">
        <f t="shared" si="1"/>
        <v>10652.833333333334</v>
      </c>
      <c r="J12" s="120">
        <f t="shared" si="1"/>
        <v>12484</v>
      </c>
      <c r="K12" s="120">
        <f t="shared" si="1"/>
        <v>11592</v>
      </c>
      <c r="L12" s="90">
        <f t="shared" si="1"/>
        <v>14197.5</v>
      </c>
      <c r="M12" s="90">
        <f t="shared" ref="M12:U12" si="2">AVERAGE(M6:M11)</f>
        <v>14518.5</v>
      </c>
      <c r="N12" s="90">
        <f t="shared" si="2"/>
        <v>13732</v>
      </c>
      <c r="O12" s="90">
        <f t="shared" si="2"/>
        <v>12548.166666666666</v>
      </c>
      <c r="P12" s="90">
        <f t="shared" si="2"/>
        <v>16350</v>
      </c>
      <c r="Q12" s="90">
        <f t="shared" si="2"/>
        <v>21142</v>
      </c>
      <c r="R12" s="90">
        <f t="shared" si="2"/>
        <v>22936</v>
      </c>
      <c r="S12" s="90">
        <f t="shared" si="2"/>
        <v>28811.833333333332</v>
      </c>
      <c r="T12" s="90">
        <f t="shared" si="2"/>
        <v>32678.166666666668</v>
      </c>
      <c r="U12" s="90">
        <f t="shared" si="2"/>
        <v>30793.5</v>
      </c>
      <c r="V12" s="90">
        <v>25152.833333333332</v>
      </c>
      <c r="W12" s="90">
        <v>21480.5</v>
      </c>
      <c r="X12" s="310">
        <v>20324.833333333332</v>
      </c>
      <c r="Y12" s="90">
        <f>AVERAGE(Y6:Y11)</f>
        <v>18124.666666666668</v>
      </c>
      <c r="Z12" s="198">
        <f t="shared" si="0"/>
        <v>-0.10825017015309668</v>
      </c>
    </row>
    <row r="13" spans="1:26" ht="18" customHeight="1">
      <c r="A13" s="78" t="s">
        <v>25</v>
      </c>
      <c r="B13" s="114">
        <v>6680</v>
      </c>
      <c r="C13" s="114">
        <v>7962</v>
      </c>
      <c r="D13" s="114">
        <v>8980</v>
      </c>
      <c r="E13" s="114">
        <v>8604</v>
      </c>
      <c r="F13" s="114">
        <v>9632</v>
      </c>
      <c r="G13" s="114">
        <f>10233-352</f>
        <v>9881</v>
      </c>
      <c r="H13" s="114">
        <f>296+9999-310</f>
        <v>9985</v>
      </c>
      <c r="I13" s="114">
        <v>8758</v>
      </c>
      <c r="J13" s="114">
        <v>9772</v>
      </c>
      <c r="K13" s="114">
        <v>9509</v>
      </c>
      <c r="L13" s="115">
        <v>11705</v>
      </c>
      <c r="M13" s="115">
        <v>11835</v>
      </c>
      <c r="N13" s="115">
        <v>10821</v>
      </c>
      <c r="O13" s="115">
        <v>10313</v>
      </c>
      <c r="P13" s="115">
        <v>15817</v>
      </c>
      <c r="Q13" s="115">
        <v>18443</v>
      </c>
      <c r="R13" s="115">
        <v>20024</v>
      </c>
      <c r="S13" s="115">
        <v>25399</v>
      </c>
      <c r="T13" s="119">
        <v>29528</v>
      </c>
      <c r="U13" s="119">
        <v>22590</v>
      </c>
      <c r="V13" s="119">
        <v>18253</v>
      </c>
      <c r="W13" s="119">
        <v>15082</v>
      </c>
      <c r="X13" s="372">
        <v>13960</v>
      </c>
      <c r="Y13" s="372">
        <f>'κατά φύλο, μήνα 2017,2018'!K16</f>
        <v>12888</v>
      </c>
      <c r="Z13" s="346">
        <f t="shared" ref="Z13:Z19" si="3">(Y13/X13)-1</f>
        <v>-7.6790830945558719E-2</v>
      </c>
    </row>
    <row r="14" spans="1:26" ht="18" customHeight="1">
      <c r="A14" s="15" t="s">
        <v>7</v>
      </c>
      <c r="B14" s="52">
        <v>6621</v>
      </c>
      <c r="C14" s="52">
        <v>7849</v>
      </c>
      <c r="D14" s="52">
        <v>8752</v>
      </c>
      <c r="E14" s="52">
        <v>8486</v>
      </c>
      <c r="F14" s="52">
        <v>9969</v>
      </c>
      <c r="G14" s="52">
        <v>10059</v>
      </c>
      <c r="H14" s="52">
        <f>10342-300</f>
        <v>10042</v>
      </c>
      <c r="I14" s="52">
        <v>8633</v>
      </c>
      <c r="J14" s="52">
        <v>9178</v>
      </c>
      <c r="K14" s="52">
        <v>9132</v>
      </c>
      <c r="L14" s="41">
        <v>11668</v>
      </c>
      <c r="M14" s="41">
        <v>11752</v>
      </c>
      <c r="N14" s="41">
        <v>10761</v>
      </c>
      <c r="O14" s="41">
        <v>10335</v>
      </c>
      <c r="P14" s="41">
        <v>15904</v>
      </c>
      <c r="Q14" s="41">
        <v>17925</v>
      </c>
      <c r="R14" s="41">
        <v>20501</v>
      </c>
      <c r="S14" s="41">
        <v>24866</v>
      </c>
      <c r="T14" s="85">
        <v>30345</v>
      </c>
      <c r="U14" s="85">
        <v>21432</v>
      </c>
      <c r="V14" s="119">
        <v>17759</v>
      </c>
      <c r="W14" s="119">
        <v>15419</v>
      </c>
      <c r="X14" s="372">
        <v>13935</v>
      </c>
      <c r="Y14" s="372">
        <f>'κατά φύλο, μήνα 2017,2018'!K17</f>
        <v>12954</v>
      </c>
      <c r="Z14" s="346">
        <f t="shared" si="3"/>
        <v>-7.0398277717976354E-2</v>
      </c>
    </row>
    <row r="15" spans="1:26" ht="18" customHeight="1">
      <c r="A15" s="15" t="s">
        <v>26</v>
      </c>
      <c r="B15" s="52">
        <v>6233</v>
      </c>
      <c r="C15" s="52">
        <v>7440</v>
      </c>
      <c r="D15" s="52">
        <v>8025</v>
      </c>
      <c r="E15" s="52">
        <v>8409</v>
      </c>
      <c r="F15" s="52">
        <v>9418</v>
      </c>
      <c r="G15" s="52">
        <v>9135</v>
      </c>
      <c r="H15" s="52">
        <f>9554-295</f>
        <v>9259</v>
      </c>
      <c r="I15" s="52">
        <v>7951</v>
      </c>
      <c r="J15" s="52">
        <v>8299</v>
      </c>
      <c r="K15" s="52">
        <v>8609</v>
      </c>
      <c r="L15" s="41">
        <v>11135</v>
      </c>
      <c r="M15" s="41">
        <v>11508</v>
      </c>
      <c r="N15" s="41">
        <v>10617</v>
      </c>
      <c r="O15" s="41">
        <v>9697</v>
      </c>
      <c r="P15" s="41">
        <v>15896</v>
      </c>
      <c r="Q15" s="41">
        <v>17103</v>
      </c>
      <c r="R15" s="41">
        <v>20171</v>
      </c>
      <c r="S15" s="85">
        <v>24913</v>
      </c>
      <c r="T15" s="85">
        <v>29550</v>
      </c>
      <c r="U15" s="85">
        <v>21500</v>
      </c>
      <c r="V15" s="119">
        <v>16132</v>
      </c>
      <c r="W15" s="119">
        <v>13770</v>
      </c>
      <c r="X15" s="372">
        <v>12040</v>
      </c>
      <c r="Y15" s="372">
        <f>'κατά φύλο, μήνα 2017,2018'!K18</f>
        <v>12894</v>
      </c>
      <c r="Z15" s="346">
        <f t="shared" si="3"/>
        <v>7.0930232558139572E-2</v>
      </c>
    </row>
    <row r="16" spans="1:26" ht="18" customHeight="1">
      <c r="A16" s="15" t="s">
        <v>27</v>
      </c>
      <c r="B16" s="52">
        <v>6119</v>
      </c>
      <c r="C16" s="52">
        <v>7280</v>
      </c>
      <c r="D16" s="52">
        <v>7475</v>
      </c>
      <c r="E16" s="52">
        <v>7732</v>
      </c>
      <c r="F16" s="52">
        <v>7380</v>
      </c>
      <c r="G16" s="52">
        <f>8844-329</f>
        <v>8515</v>
      </c>
      <c r="H16" s="52">
        <f>9483-298</f>
        <v>9185</v>
      </c>
      <c r="I16" s="52">
        <v>7450</v>
      </c>
      <c r="J16" s="52">
        <v>7894</v>
      </c>
      <c r="K16" s="52">
        <v>8105</v>
      </c>
      <c r="L16" s="41">
        <v>9847</v>
      </c>
      <c r="M16" s="41">
        <v>9396</v>
      </c>
      <c r="N16" s="41">
        <v>8345</v>
      </c>
      <c r="O16" s="41">
        <v>8194</v>
      </c>
      <c r="P16" s="41">
        <v>14225</v>
      </c>
      <c r="Q16" s="41">
        <v>15052</v>
      </c>
      <c r="R16" s="41">
        <v>18540</v>
      </c>
      <c r="S16" s="41">
        <v>22957</v>
      </c>
      <c r="T16" s="85">
        <v>27093</v>
      </c>
      <c r="U16" s="85">
        <v>17937</v>
      </c>
      <c r="V16" s="119">
        <v>14132</v>
      </c>
      <c r="W16" s="119">
        <v>12341</v>
      </c>
      <c r="X16" s="372">
        <v>10316</v>
      </c>
      <c r="Y16" s="372">
        <f>'κατά φύλο, μήνα 2017,2018'!K19</f>
        <v>10574</v>
      </c>
      <c r="Z16" s="346">
        <f t="shared" si="3"/>
        <v>2.5009693679720835E-2</v>
      </c>
    </row>
    <row r="17" spans="1:26" ht="18" customHeight="1">
      <c r="A17" s="15" t="s">
        <v>28</v>
      </c>
      <c r="B17" s="52">
        <v>6416</v>
      </c>
      <c r="C17" s="52">
        <v>8908</v>
      </c>
      <c r="D17" s="52">
        <v>8589</v>
      </c>
      <c r="E17" s="52">
        <v>9186</v>
      </c>
      <c r="F17" s="52">
        <f>10259-1134</f>
        <v>9125</v>
      </c>
      <c r="G17" s="52">
        <v>9905</v>
      </c>
      <c r="H17" s="52">
        <v>12316</v>
      </c>
      <c r="I17" s="52">
        <v>10392</v>
      </c>
      <c r="J17" s="52">
        <v>10560</v>
      </c>
      <c r="K17" s="52">
        <v>10575</v>
      </c>
      <c r="L17" s="41">
        <v>13614</v>
      </c>
      <c r="M17" s="41">
        <v>12990</v>
      </c>
      <c r="N17" s="41">
        <v>12052</v>
      </c>
      <c r="O17" s="41">
        <v>11853</v>
      </c>
      <c r="P17" s="41">
        <v>19333</v>
      </c>
      <c r="Q17" s="41">
        <v>20238</v>
      </c>
      <c r="R17" s="41">
        <v>24943</v>
      </c>
      <c r="S17" s="41">
        <v>29393</v>
      </c>
      <c r="T17" s="85">
        <v>32643</v>
      </c>
      <c r="U17" s="85">
        <v>25814</v>
      </c>
      <c r="V17" s="119">
        <v>23214</v>
      </c>
      <c r="W17" s="119">
        <v>20992</v>
      </c>
      <c r="X17" s="372">
        <v>19067</v>
      </c>
      <c r="Y17" s="372">
        <f>'κατά φύλο, μήνα 2017,2018'!K20</f>
        <v>20250</v>
      </c>
      <c r="Z17" s="346">
        <f t="shared" si="3"/>
        <v>6.2044369853673897E-2</v>
      </c>
    </row>
    <row r="18" spans="1:26" ht="18" customHeight="1" thickBot="1">
      <c r="A18" s="79" t="s">
        <v>29</v>
      </c>
      <c r="B18" s="116">
        <v>8226</v>
      </c>
      <c r="C18" s="116">
        <v>11214</v>
      </c>
      <c r="D18" s="116">
        <v>9915</v>
      </c>
      <c r="E18" s="116">
        <v>12477</v>
      </c>
      <c r="F18" s="116">
        <f>12981-1262</f>
        <v>11719</v>
      </c>
      <c r="G18" s="116">
        <v>13133</v>
      </c>
      <c r="H18" s="116">
        <f>16077-775</f>
        <v>15302</v>
      </c>
      <c r="I18" s="116">
        <v>13658</v>
      </c>
      <c r="J18" s="116">
        <v>13824</v>
      </c>
      <c r="K18" s="116">
        <v>14111</v>
      </c>
      <c r="L18" s="117">
        <v>16294</v>
      </c>
      <c r="M18" s="117">
        <v>15903</v>
      </c>
      <c r="N18" s="117">
        <v>15648</v>
      </c>
      <c r="O18" s="117">
        <v>15669</v>
      </c>
      <c r="P18" s="117">
        <v>22938</v>
      </c>
      <c r="Q18" s="117">
        <v>24154</v>
      </c>
      <c r="R18" s="118">
        <v>29034</v>
      </c>
      <c r="S18" s="117">
        <v>33374</v>
      </c>
      <c r="T18" s="118">
        <v>36716</v>
      </c>
      <c r="U18" s="118">
        <v>29637</v>
      </c>
      <c r="V18" s="301">
        <v>26943</v>
      </c>
      <c r="W18" s="301">
        <v>25357</v>
      </c>
      <c r="X18" s="373">
        <v>23666</v>
      </c>
      <c r="Y18" s="372">
        <f>'κατά φύλο, μήνα 2017,2018'!K21</f>
        <v>24604</v>
      </c>
      <c r="Z18" s="426">
        <f t="shared" si="3"/>
        <v>3.963491929350127E-2</v>
      </c>
    </row>
    <row r="19" spans="1:26" ht="39.75" customHeight="1" thickBot="1">
      <c r="A19" s="197" t="s">
        <v>42</v>
      </c>
      <c r="B19" s="120">
        <f t="shared" ref="B19:L19" si="4">AVERAGE(B13:B18)</f>
        <v>6715.833333333333</v>
      </c>
      <c r="C19" s="120">
        <f t="shared" si="4"/>
        <v>8442.1666666666661</v>
      </c>
      <c r="D19" s="120">
        <f t="shared" si="4"/>
        <v>8622.6666666666661</v>
      </c>
      <c r="E19" s="120">
        <f t="shared" si="4"/>
        <v>9149</v>
      </c>
      <c r="F19" s="120">
        <f t="shared" si="4"/>
        <v>9540.5</v>
      </c>
      <c r="G19" s="120">
        <f t="shared" si="4"/>
        <v>10104.666666666666</v>
      </c>
      <c r="H19" s="120">
        <f t="shared" si="4"/>
        <v>11014.833333333334</v>
      </c>
      <c r="I19" s="120">
        <f t="shared" si="4"/>
        <v>9473.6666666666661</v>
      </c>
      <c r="J19" s="120">
        <f t="shared" si="4"/>
        <v>9921.1666666666661</v>
      </c>
      <c r="K19" s="120">
        <f t="shared" si="4"/>
        <v>10006.833333333334</v>
      </c>
      <c r="L19" s="90">
        <f t="shared" si="4"/>
        <v>12377.166666666666</v>
      </c>
      <c r="M19" s="90">
        <f t="shared" ref="M19:S19" si="5">AVERAGE(M13:M18)</f>
        <v>12230.666666666666</v>
      </c>
      <c r="N19" s="90">
        <f t="shared" si="5"/>
        <v>11374</v>
      </c>
      <c r="O19" s="90">
        <f t="shared" si="5"/>
        <v>11010.166666666666</v>
      </c>
      <c r="P19" s="90">
        <f t="shared" si="5"/>
        <v>17352.166666666668</v>
      </c>
      <c r="Q19" s="90">
        <f t="shared" si="5"/>
        <v>18819.166666666668</v>
      </c>
      <c r="R19" s="90">
        <f t="shared" si="5"/>
        <v>22202.166666666668</v>
      </c>
      <c r="S19" s="90">
        <f t="shared" si="5"/>
        <v>26817</v>
      </c>
      <c r="T19" s="199">
        <f>AVERAGE(T13:T18)</f>
        <v>30979.166666666668</v>
      </c>
      <c r="U19" s="199">
        <f>AVERAGE(U13:U18)</f>
        <v>23151.666666666668</v>
      </c>
      <c r="V19" s="199">
        <v>19405.5</v>
      </c>
      <c r="W19" s="199">
        <v>17160.166666666668</v>
      </c>
      <c r="X19" s="374">
        <v>15497.333333333334</v>
      </c>
      <c r="Y19" s="199">
        <f>AVERAGE(Y13:Y18)</f>
        <v>15694</v>
      </c>
      <c r="Z19" s="328">
        <f t="shared" si="3"/>
        <v>1.269035532994911E-2</v>
      </c>
    </row>
    <row r="20" spans="1:26" ht="27.75" customHeight="1" thickBot="1">
      <c r="A20" s="197" t="s">
        <v>45</v>
      </c>
      <c r="B20" s="57">
        <f t="shared" ref="B20:L20" si="6">AVERAGE(B6:B11,B13:B18)</f>
        <v>6916.416666666667</v>
      </c>
      <c r="C20" s="57">
        <f t="shared" si="6"/>
        <v>8484.0833333333339</v>
      </c>
      <c r="D20" s="57">
        <f t="shared" si="6"/>
        <v>9345.5833333333339</v>
      </c>
      <c r="E20" s="57">
        <f t="shared" si="6"/>
        <v>9457.8333333333339</v>
      </c>
      <c r="F20" s="57">
        <f t="shared" si="6"/>
        <v>10434.916666666666</v>
      </c>
      <c r="G20" s="57">
        <f t="shared" si="6"/>
        <v>10773</v>
      </c>
      <c r="H20" s="57">
        <f t="shared" si="6"/>
        <v>11154.083333333334</v>
      </c>
      <c r="I20" s="57">
        <f t="shared" si="6"/>
        <v>10063.25</v>
      </c>
      <c r="J20" s="57">
        <f t="shared" si="6"/>
        <v>11086.09090909091</v>
      </c>
      <c r="K20" s="57">
        <f t="shared" si="6"/>
        <v>10799.416666666666</v>
      </c>
      <c r="L20" s="57">
        <f t="shared" si="6"/>
        <v>13287.333333333334</v>
      </c>
      <c r="M20" s="54">
        <f t="shared" ref="M20:S20" si="7">AVERAGE(M6:M11,M13:M18)</f>
        <v>13374.583333333334</v>
      </c>
      <c r="N20" s="54">
        <f t="shared" si="7"/>
        <v>12553</v>
      </c>
      <c r="O20" s="54">
        <f t="shared" si="7"/>
        <v>11779.166666666666</v>
      </c>
      <c r="P20" s="54">
        <f t="shared" si="7"/>
        <v>16851.083333333332</v>
      </c>
      <c r="Q20" s="54">
        <f t="shared" si="7"/>
        <v>19980.583333333332</v>
      </c>
      <c r="R20" s="54">
        <f t="shared" si="7"/>
        <v>22569.083333333332</v>
      </c>
      <c r="S20" s="54">
        <f t="shared" si="7"/>
        <v>27814.416666666668</v>
      </c>
      <c r="T20" s="113">
        <f>AVERAGE(T6:T11,T13:T18)</f>
        <v>31828.666666666668</v>
      </c>
      <c r="U20" s="113">
        <f>AVERAGE(U6:U11,U13:U18)</f>
        <v>26972.583333333332</v>
      </c>
      <c r="V20" s="113">
        <v>22279.166666666668</v>
      </c>
      <c r="W20" s="113">
        <v>19320.333333333332</v>
      </c>
      <c r="X20" s="375">
        <v>17911.083333333332</v>
      </c>
      <c r="Y20" s="113">
        <f>AVERAGE(Y12,Y19)</f>
        <v>16909.333333333336</v>
      </c>
      <c r="Z20" s="328">
        <f>(Y20/X20)-1</f>
        <v>-5.5929056961936729E-2</v>
      </c>
    </row>
    <row r="21" spans="1:26">
      <c r="A21" s="3"/>
    </row>
    <row r="23" spans="1:26">
      <c r="A23" s="38"/>
      <c r="Q23" s="469" t="s">
        <v>12</v>
      </c>
      <c r="R23" s="469"/>
      <c r="S23" s="469"/>
      <c r="T23" s="469"/>
      <c r="U23" s="469"/>
      <c r="V23" s="469"/>
      <c r="W23" s="469"/>
      <c r="X23" s="469"/>
      <c r="Y23" s="469"/>
      <c r="Z23" s="469"/>
    </row>
    <row r="24" spans="1:26" ht="14.25">
      <c r="A24" s="21"/>
      <c r="Q24" s="469" t="s">
        <v>11</v>
      </c>
      <c r="R24" s="469"/>
      <c r="S24" s="469"/>
      <c r="T24" s="469"/>
      <c r="U24" s="469"/>
      <c r="V24" s="469"/>
      <c r="W24" s="469"/>
      <c r="X24" s="469"/>
      <c r="Y24" s="469"/>
      <c r="Z24" s="469"/>
    </row>
    <row r="25" spans="1:26">
      <c r="A25" s="31">
        <f>'κατά φύλο, μήνα 2017,2018'!A29</f>
        <v>43521</v>
      </c>
      <c r="O25" s="30"/>
      <c r="P25" s="35"/>
      <c r="Q25" s="35"/>
      <c r="R25" s="35"/>
      <c r="S25" s="35"/>
    </row>
    <row r="26" spans="1:26">
      <c r="A26" s="38"/>
      <c r="O26" s="35"/>
      <c r="P26" s="35"/>
      <c r="Q26" s="35"/>
      <c r="R26" s="35"/>
      <c r="S26" s="33"/>
    </row>
  </sheetData>
  <mergeCells count="4">
    <mergeCell ref="F4:Q4"/>
    <mergeCell ref="A3:Z3"/>
    <mergeCell ref="Q23:Z23"/>
    <mergeCell ref="Q24:Z24"/>
  </mergeCells>
  <phoneticPr fontId="0" type="noConversion"/>
  <pageMargins left="0" right="0" top="0.98425196850393704" bottom="0.78740157480314965" header="0.51181102362204722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H6" sqref="H6:M20"/>
    </sheetView>
  </sheetViews>
  <sheetFormatPr defaultRowHeight="12.75"/>
  <cols>
    <col min="1" max="1" width="30.85546875" customWidth="1"/>
    <col min="2" max="2" width="12.42578125" customWidth="1"/>
    <col min="4" max="4" width="9.5703125" customWidth="1"/>
    <col min="5" max="5" width="13" customWidth="1"/>
    <col min="6" max="7" width="9.42578125" customWidth="1"/>
    <col min="8" max="8" width="11.7109375" customWidth="1"/>
    <col min="10" max="10" width="10.28515625" bestFit="1" customWidth="1"/>
    <col min="11" max="11" width="13.7109375" bestFit="1" customWidth="1"/>
  </cols>
  <sheetData>
    <row r="1" spans="1:16">
      <c r="A1" s="122" t="s">
        <v>99</v>
      </c>
    </row>
    <row r="2" spans="1:16" ht="27.75" customHeight="1">
      <c r="A2" s="467" t="s">
        <v>142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1:16" ht="13.5" thickBot="1">
      <c r="A3" s="400"/>
    </row>
    <row r="4" spans="1:16" ht="19.5" customHeight="1">
      <c r="A4" s="475" t="s">
        <v>0</v>
      </c>
      <c r="B4" s="470">
        <v>2017</v>
      </c>
      <c r="C4" s="470"/>
      <c r="D4" s="470"/>
      <c r="E4" s="470"/>
      <c r="F4" s="470"/>
      <c r="G4" s="477" t="s">
        <v>150</v>
      </c>
      <c r="H4" s="470">
        <v>2018</v>
      </c>
      <c r="I4" s="470"/>
      <c r="J4" s="470"/>
      <c r="K4" s="470"/>
      <c r="L4" s="470"/>
      <c r="M4" s="473" t="s">
        <v>141</v>
      </c>
    </row>
    <row r="5" spans="1:16" ht="37.5" customHeight="1">
      <c r="A5" s="476"/>
      <c r="B5" s="200" t="s">
        <v>35</v>
      </c>
      <c r="C5" s="201" t="s">
        <v>36</v>
      </c>
      <c r="D5" s="201" t="s">
        <v>39</v>
      </c>
      <c r="E5" s="202" t="s">
        <v>37</v>
      </c>
      <c r="F5" s="201" t="s">
        <v>38</v>
      </c>
      <c r="G5" s="478"/>
      <c r="H5" s="200" t="s">
        <v>35</v>
      </c>
      <c r="I5" s="201" t="s">
        <v>36</v>
      </c>
      <c r="J5" s="201" t="s">
        <v>39</v>
      </c>
      <c r="K5" s="202" t="s">
        <v>37</v>
      </c>
      <c r="L5" s="201" t="s">
        <v>38</v>
      </c>
      <c r="M5" s="474"/>
    </row>
    <row r="6" spans="1:16" ht="18" customHeight="1">
      <c r="A6" s="203" t="s">
        <v>19</v>
      </c>
      <c r="B6" s="308">
        <v>14999</v>
      </c>
      <c r="C6" s="308">
        <v>5695</v>
      </c>
      <c r="D6" s="308">
        <v>881</v>
      </c>
      <c r="E6" s="308">
        <v>28</v>
      </c>
      <c r="F6" s="308">
        <v>21603</v>
      </c>
      <c r="G6" s="408">
        <v>-4.9744369213762241E-3</v>
      </c>
      <c r="H6" s="308">
        <v>13799</v>
      </c>
      <c r="I6" s="308">
        <v>6130</v>
      </c>
      <c r="J6" s="308">
        <v>984</v>
      </c>
      <c r="K6" s="308">
        <v>34</v>
      </c>
      <c r="L6" s="308">
        <f>SUM(H6:K6)</f>
        <v>20947</v>
      </c>
      <c r="M6" s="414">
        <f>(L6/F6)-1</f>
        <v>-3.0366152849141348E-2</v>
      </c>
    </row>
    <row r="7" spans="1:16" ht="18" customHeight="1">
      <c r="A7" s="203" t="s">
        <v>20</v>
      </c>
      <c r="B7" s="308">
        <v>14172</v>
      </c>
      <c r="C7" s="308">
        <v>5560</v>
      </c>
      <c r="D7" s="308">
        <v>863</v>
      </c>
      <c r="E7" s="308">
        <v>30</v>
      </c>
      <c r="F7" s="308">
        <v>20625</v>
      </c>
      <c r="G7" s="408">
        <v>-1.7201944153245052E-2</v>
      </c>
      <c r="H7" s="308">
        <v>12083</v>
      </c>
      <c r="I7" s="308">
        <v>5865</v>
      </c>
      <c r="J7" s="308">
        <v>955</v>
      </c>
      <c r="K7" s="308">
        <v>29</v>
      </c>
      <c r="L7" s="308">
        <f t="shared" ref="L7:L11" si="0">SUM(H7:K7)</f>
        <v>18932</v>
      </c>
      <c r="M7" s="414">
        <f t="shared" ref="M7:M11" si="1">(L7/F7)-1</f>
        <v>-8.2084848484848538E-2</v>
      </c>
    </row>
    <row r="8" spans="1:16" ht="18" customHeight="1">
      <c r="A8" s="203" t="s">
        <v>21</v>
      </c>
      <c r="B8" s="308">
        <v>12973</v>
      </c>
      <c r="C8" s="308">
        <v>4817</v>
      </c>
      <c r="D8" s="308">
        <v>772</v>
      </c>
      <c r="E8" s="308">
        <v>21</v>
      </c>
      <c r="F8" s="308">
        <v>18583</v>
      </c>
      <c r="G8" s="408">
        <v>-6.3098230041174208E-3</v>
      </c>
      <c r="H8" s="308">
        <v>10867</v>
      </c>
      <c r="I8" s="308">
        <v>4971</v>
      </c>
      <c r="J8" s="308">
        <v>824</v>
      </c>
      <c r="K8" s="308">
        <v>23</v>
      </c>
      <c r="L8" s="308">
        <f t="shared" si="0"/>
        <v>16685</v>
      </c>
      <c r="M8" s="414">
        <f t="shared" si="1"/>
        <v>-0.1021363611903352</v>
      </c>
    </row>
    <row r="9" spans="1:16" ht="18" customHeight="1">
      <c r="A9" s="203" t="s">
        <v>22</v>
      </c>
      <c r="B9" s="308">
        <v>8917</v>
      </c>
      <c r="C9" s="308">
        <v>3023</v>
      </c>
      <c r="D9" s="308">
        <v>555</v>
      </c>
      <c r="E9" s="308">
        <v>14</v>
      </c>
      <c r="F9" s="308">
        <v>12509</v>
      </c>
      <c r="G9" s="408">
        <v>-2.5516306514632436E-3</v>
      </c>
      <c r="H9" s="308">
        <v>7907</v>
      </c>
      <c r="I9" s="308">
        <v>3202</v>
      </c>
      <c r="J9" s="308">
        <v>595</v>
      </c>
      <c r="K9" s="308">
        <v>23</v>
      </c>
      <c r="L9" s="308">
        <f t="shared" si="0"/>
        <v>11727</v>
      </c>
      <c r="M9" s="414">
        <f t="shared" si="1"/>
        <v>-6.2514989207770433E-2</v>
      </c>
    </row>
    <row r="10" spans="1:16" ht="18" customHeight="1">
      <c r="A10" s="203" t="s">
        <v>23</v>
      </c>
      <c r="B10" s="308">
        <v>5827</v>
      </c>
      <c r="C10" s="308">
        <v>1719</v>
      </c>
      <c r="D10" s="308">
        <v>368</v>
      </c>
      <c r="E10" s="308">
        <v>7</v>
      </c>
      <c r="F10" s="308">
        <v>7921</v>
      </c>
      <c r="G10" s="408">
        <v>-6.459612659423708E-2</v>
      </c>
      <c r="H10" s="308">
        <v>4793</v>
      </c>
      <c r="I10" s="308">
        <v>1373</v>
      </c>
      <c r="J10" s="308">
        <v>344</v>
      </c>
      <c r="K10" s="308">
        <v>14</v>
      </c>
      <c r="L10" s="308">
        <f t="shared" si="0"/>
        <v>6524</v>
      </c>
      <c r="M10" s="414">
        <f t="shared" si="1"/>
        <v>-0.17636662037621509</v>
      </c>
    </row>
    <row r="11" spans="1:16" ht="18" customHeight="1" thickBot="1">
      <c r="A11" s="207" t="s">
        <v>24</v>
      </c>
      <c r="B11" s="309">
        <v>5779</v>
      </c>
      <c r="C11" s="309">
        <v>1098</v>
      </c>
      <c r="D11" s="309">
        <v>279</v>
      </c>
      <c r="E11" s="309">
        <v>4</v>
      </c>
      <c r="F11" s="309">
        <v>7160</v>
      </c>
      <c r="G11" s="409">
        <v>-0.10140562248995988</v>
      </c>
      <c r="H11" s="309">
        <v>5469</v>
      </c>
      <c r="I11" s="309">
        <v>1022</v>
      </c>
      <c r="J11" s="309">
        <v>272</v>
      </c>
      <c r="K11" s="309">
        <v>17</v>
      </c>
      <c r="L11" s="308">
        <f t="shared" si="0"/>
        <v>6780</v>
      </c>
      <c r="M11" s="414">
        <f t="shared" si="1"/>
        <v>-5.307262569832405E-2</v>
      </c>
    </row>
    <row r="12" spans="1:16" ht="39" customHeight="1" thickBot="1">
      <c r="A12" s="209" t="s">
        <v>41</v>
      </c>
      <c r="B12" s="310">
        <v>10444.5</v>
      </c>
      <c r="C12" s="310">
        <v>3652</v>
      </c>
      <c r="D12" s="310">
        <v>619.66666666666663</v>
      </c>
      <c r="E12" s="310">
        <v>17.333333333333332</v>
      </c>
      <c r="F12" s="310">
        <v>14733.5</v>
      </c>
      <c r="G12" s="410">
        <v>-2.1842323651452333E-2</v>
      </c>
      <c r="H12" s="310">
        <f>AVERAGE(H6:H11)</f>
        <v>9153</v>
      </c>
      <c r="I12" s="310">
        <f t="shared" ref="I12:L12" si="2">AVERAGE(I6:I11)</f>
        <v>3760.5</v>
      </c>
      <c r="J12" s="310">
        <f t="shared" si="2"/>
        <v>662.33333333333337</v>
      </c>
      <c r="K12" s="310">
        <f t="shared" si="2"/>
        <v>23.333333333333332</v>
      </c>
      <c r="L12" s="310">
        <f t="shared" si="2"/>
        <v>13599.166666666666</v>
      </c>
      <c r="M12" s="415">
        <f>(L12/F12)-1</f>
        <v>-7.6990079297745595E-2</v>
      </c>
    </row>
    <row r="13" spans="1:16" ht="18" customHeight="1">
      <c r="A13" s="208" t="s">
        <v>25</v>
      </c>
      <c r="B13" s="311">
        <v>8108</v>
      </c>
      <c r="C13" s="311">
        <v>1228</v>
      </c>
      <c r="D13" s="311">
        <v>314</v>
      </c>
      <c r="E13" s="311">
        <v>11</v>
      </c>
      <c r="F13" s="311">
        <v>9661</v>
      </c>
      <c r="G13" s="411">
        <v>-6.5667311411992224E-2</v>
      </c>
      <c r="H13" s="311">
        <v>7821</v>
      </c>
      <c r="I13" s="311">
        <v>1221</v>
      </c>
      <c r="J13" s="311">
        <v>334</v>
      </c>
      <c r="K13" s="311">
        <v>27</v>
      </c>
      <c r="L13" s="311">
        <f>SUM(H13:K13)</f>
        <v>9403</v>
      </c>
      <c r="M13" s="416">
        <f>(L13/F13)-1</f>
        <v>-2.6705310009315752E-2</v>
      </c>
    </row>
    <row r="14" spans="1:16" ht="18" customHeight="1">
      <c r="A14" s="203" t="s">
        <v>7</v>
      </c>
      <c r="B14" s="308">
        <v>8283</v>
      </c>
      <c r="C14" s="308">
        <v>1221</v>
      </c>
      <c r="D14" s="308">
        <v>290</v>
      </c>
      <c r="E14" s="308">
        <v>15</v>
      </c>
      <c r="F14" s="308">
        <v>9809</v>
      </c>
      <c r="G14" s="408">
        <v>-8.404146045382388E-2</v>
      </c>
      <c r="H14" s="308">
        <v>8070</v>
      </c>
      <c r="I14" s="308">
        <v>1223</v>
      </c>
      <c r="J14" s="308">
        <v>317</v>
      </c>
      <c r="K14" s="308">
        <v>23</v>
      </c>
      <c r="L14" s="311">
        <f t="shared" ref="L14:L18" si="3">SUM(H14:K14)</f>
        <v>9633</v>
      </c>
      <c r="M14" s="416">
        <f t="shared" ref="M14:M20" si="4">(L14/F14)-1</f>
        <v>-1.794270567845857E-2</v>
      </c>
    </row>
    <row r="15" spans="1:16" ht="18" customHeight="1">
      <c r="A15" s="203" t="s">
        <v>26</v>
      </c>
      <c r="B15" s="308">
        <v>6597</v>
      </c>
      <c r="C15" s="308">
        <v>1171</v>
      </c>
      <c r="D15" s="308">
        <v>276</v>
      </c>
      <c r="E15" s="308">
        <v>14</v>
      </c>
      <c r="F15" s="308">
        <v>8058</v>
      </c>
      <c r="G15" s="408">
        <v>-0.13205514864282641</v>
      </c>
      <c r="H15" s="308">
        <v>7457</v>
      </c>
      <c r="I15" s="308">
        <v>1240</v>
      </c>
      <c r="J15" s="308">
        <v>298</v>
      </c>
      <c r="K15" s="308">
        <v>23</v>
      </c>
      <c r="L15" s="311">
        <f t="shared" si="3"/>
        <v>9018</v>
      </c>
      <c r="M15" s="416">
        <f t="shared" si="4"/>
        <v>0.11913626209977668</v>
      </c>
      <c r="P15" s="295"/>
    </row>
    <row r="16" spans="1:16" ht="18" customHeight="1">
      <c r="A16" s="203" t="s">
        <v>27</v>
      </c>
      <c r="B16" s="308">
        <v>5111</v>
      </c>
      <c r="C16" s="308">
        <v>1205</v>
      </c>
      <c r="D16" s="308">
        <v>276</v>
      </c>
      <c r="E16" s="308">
        <v>12</v>
      </c>
      <c r="F16" s="308">
        <v>6604</v>
      </c>
      <c r="G16" s="408">
        <v>-0.19078544296042155</v>
      </c>
      <c r="H16" s="308">
        <v>5246</v>
      </c>
      <c r="I16" s="308">
        <v>1294</v>
      </c>
      <c r="J16" s="308">
        <v>290</v>
      </c>
      <c r="K16" s="308">
        <v>20</v>
      </c>
      <c r="L16" s="311">
        <f t="shared" si="3"/>
        <v>6850</v>
      </c>
      <c r="M16" s="416">
        <f t="shared" si="4"/>
        <v>3.725015142337984E-2</v>
      </c>
    </row>
    <row r="17" spans="1:16" ht="18" customHeight="1">
      <c r="A17" s="203" t="s">
        <v>28</v>
      </c>
      <c r="B17" s="308">
        <v>9375</v>
      </c>
      <c r="C17" s="308">
        <v>3996</v>
      </c>
      <c r="D17" s="308">
        <v>688</v>
      </c>
      <c r="E17" s="308">
        <v>18</v>
      </c>
      <c r="F17" s="308">
        <v>14077</v>
      </c>
      <c r="G17" s="408">
        <v>-8.1974696752315168E-2</v>
      </c>
      <c r="H17" s="308">
        <v>9898</v>
      </c>
      <c r="I17" s="308">
        <v>4696</v>
      </c>
      <c r="J17" s="308">
        <v>742</v>
      </c>
      <c r="K17" s="308">
        <v>26</v>
      </c>
      <c r="L17" s="311">
        <f t="shared" si="3"/>
        <v>15362</v>
      </c>
      <c r="M17" s="416">
        <f t="shared" si="4"/>
        <v>9.1283654187682028E-2</v>
      </c>
      <c r="P17" s="427"/>
    </row>
    <row r="18" spans="1:16" ht="18" customHeight="1" thickBot="1">
      <c r="A18" s="207" t="s">
        <v>29</v>
      </c>
      <c r="B18" s="309">
        <v>12764</v>
      </c>
      <c r="C18" s="309">
        <v>5501</v>
      </c>
      <c r="D18" s="309">
        <v>875</v>
      </c>
      <c r="E18" s="309">
        <v>26</v>
      </c>
      <c r="F18" s="309">
        <v>19166</v>
      </c>
      <c r="G18" s="409">
        <v>-5.2595155709342589E-2</v>
      </c>
      <c r="H18" s="309">
        <v>12993</v>
      </c>
      <c r="I18" s="309">
        <v>6320</v>
      </c>
      <c r="J18" s="309">
        <v>976</v>
      </c>
      <c r="K18" s="309">
        <v>28</v>
      </c>
      <c r="L18" s="311">
        <f t="shared" si="3"/>
        <v>20317</v>
      </c>
      <c r="M18" s="546">
        <f t="shared" si="4"/>
        <v>6.0054262756965571E-2</v>
      </c>
    </row>
    <row r="19" spans="1:16" ht="24.75" thickBot="1">
      <c r="A19" s="209" t="s">
        <v>42</v>
      </c>
      <c r="B19" s="310">
        <v>8373</v>
      </c>
      <c r="C19" s="310">
        <v>2387</v>
      </c>
      <c r="D19" s="310">
        <v>453.16666666666669</v>
      </c>
      <c r="E19" s="310">
        <v>16</v>
      </c>
      <c r="F19" s="310">
        <v>11229.166666666666</v>
      </c>
      <c r="G19" s="412">
        <v>-9.0240082097815311E-2</v>
      </c>
      <c r="H19" s="310">
        <f>AVERAGE(H13:H18)</f>
        <v>8580.8333333333339</v>
      </c>
      <c r="I19" s="310">
        <f t="shared" ref="I19:L19" si="5">AVERAGE(I13:I18)</f>
        <v>2665.6666666666665</v>
      </c>
      <c r="J19" s="310">
        <f t="shared" si="5"/>
        <v>492.83333333333331</v>
      </c>
      <c r="K19" s="310">
        <f t="shared" si="5"/>
        <v>24.5</v>
      </c>
      <c r="L19" s="310">
        <f t="shared" si="5"/>
        <v>11763.833333333334</v>
      </c>
      <c r="M19" s="548">
        <f t="shared" si="4"/>
        <v>4.7614100185528807E-2</v>
      </c>
    </row>
    <row r="20" spans="1:16" ht="24.75" thickBot="1">
      <c r="A20" s="209" t="s">
        <v>43</v>
      </c>
      <c r="B20" s="310">
        <v>9408.75</v>
      </c>
      <c r="C20" s="310">
        <v>3019.5</v>
      </c>
      <c r="D20" s="310">
        <v>536.41666666666663</v>
      </c>
      <c r="E20" s="310">
        <v>16.666666666666664</v>
      </c>
      <c r="F20" s="310">
        <v>12981.333333333332</v>
      </c>
      <c r="G20" s="412">
        <v>-5.2647582906107715E-2</v>
      </c>
      <c r="H20" s="310">
        <f>AVERAGE(H12,H19)</f>
        <v>8866.9166666666679</v>
      </c>
      <c r="I20" s="310">
        <f t="shared" ref="I20:M20" si="6">AVERAGE(I12,I19)</f>
        <v>3213.083333333333</v>
      </c>
      <c r="J20" s="310">
        <f t="shared" si="6"/>
        <v>577.58333333333337</v>
      </c>
      <c r="K20" s="310">
        <f t="shared" si="6"/>
        <v>23.916666666666664</v>
      </c>
      <c r="L20" s="310">
        <f t="shared" si="6"/>
        <v>12681.5</v>
      </c>
      <c r="M20" s="548">
        <f t="shared" si="4"/>
        <v>-2.3097267871815874E-2</v>
      </c>
      <c r="P20" s="325"/>
    </row>
    <row r="21" spans="1:16" ht="26.25" customHeight="1" thickBot="1">
      <c r="A21" s="471" t="s">
        <v>40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547"/>
    </row>
    <row r="22" spans="1:16">
      <c r="G22" s="11"/>
    </row>
    <row r="24" spans="1:16">
      <c r="A24" s="34"/>
      <c r="G24" s="11"/>
    </row>
    <row r="25" spans="1:16">
      <c r="A25" s="43" t="s">
        <v>145</v>
      </c>
      <c r="B25" s="35"/>
      <c r="C25" s="35"/>
      <c r="D25" s="35"/>
      <c r="E25" s="35"/>
      <c r="F25" s="35"/>
      <c r="J25" s="30"/>
      <c r="K25" s="469" t="s">
        <v>12</v>
      </c>
      <c r="L25" s="469"/>
      <c r="M25" s="35"/>
    </row>
    <row r="26" spans="1:16">
      <c r="A26" s="31">
        <f>'άνεργοι κατά μήνα 2007-2018'!A25</f>
        <v>43521</v>
      </c>
      <c r="B26" s="167"/>
      <c r="C26" s="167"/>
      <c r="D26" s="167"/>
      <c r="E26" s="167"/>
      <c r="F26" s="167"/>
      <c r="J26" s="469" t="s">
        <v>11</v>
      </c>
      <c r="K26" s="469"/>
      <c r="L26" s="469"/>
      <c r="M26" s="469"/>
    </row>
    <row r="27" spans="1:16">
      <c r="G27" s="35"/>
    </row>
    <row r="28" spans="1:16">
      <c r="G28" s="407"/>
    </row>
    <row r="29" spans="1:16">
      <c r="G29" t="s">
        <v>149</v>
      </c>
    </row>
  </sheetData>
  <mergeCells count="9">
    <mergeCell ref="A2:M2"/>
    <mergeCell ref="B4:F4"/>
    <mergeCell ref="K25:L25"/>
    <mergeCell ref="J26:M26"/>
    <mergeCell ref="A21:M21"/>
    <mergeCell ref="H4:L4"/>
    <mergeCell ref="M4:M5"/>
    <mergeCell ref="A4:A5"/>
    <mergeCell ref="G4:G5"/>
  </mergeCells>
  <pageMargins left="0" right="0" top="0.35433070866141736" bottom="0.15748031496062992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62"/>
  <sheetViews>
    <sheetView topLeftCell="V13" workbookViewId="0">
      <selection activeCell="AN13" sqref="AN13"/>
    </sheetView>
  </sheetViews>
  <sheetFormatPr defaultColWidth="17.7109375" defaultRowHeight="12.75"/>
  <cols>
    <col min="1" max="1" width="17.28515625" customWidth="1"/>
    <col min="2" max="2" width="9.5703125" hidden="1" customWidth="1"/>
    <col min="3" max="5" width="14.140625" hidden="1" customWidth="1"/>
    <col min="6" max="6" width="9.7109375" hidden="1" customWidth="1"/>
    <col min="7" max="7" width="14.42578125" hidden="1" customWidth="1"/>
    <col min="8" max="8" width="7.7109375" hidden="1" customWidth="1"/>
    <col min="9" max="9" width="16.5703125" hidden="1" customWidth="1"/>
    <col min="10" max="10" width="7.7109375" hidden="1" customWidth="1"/>
    <col min="11" max="11" width="16.5703125" hidden="1" customWidth="1"/>
    <col min="12" max="12" width="30.28515625" hidden="1" customWidth="1"/>
    <col min="13" max="13" width="7.7109375" hidden="1" customWidth="1"/>
    <col min="14" max="14" width="16.5703125" hidden="1" customWidth="1"/>
    <col min="15" max="15" width="30.28515625" hidden="1" customWidth="1"/>
    <col min="16" max="16" width="7.7109375" hidden="1" customWidth="1"/>
    <col min="17" max="17" width="16.5703125" hidden="1" customWidth="1"/>
    <col min="18" max="18" width="30.28515625" hidden="1" customWidth="1"/>
    <col min="19" max="19" width="7.7109375" bestFit="1" customWidth="1"/>
    <col min="20" max="20" width="16" bestFit="1" customWidth="1"/>
    <col min="21" max="21" width="8.28515625" customWidth="1"/>
    <col min="22" max="22" width="8.5703125" customWidth="1"/>
    <col min="23" max="23" width="15.7109375" customWidth="1"/>
    <col min="24" max="24" width="8.42578125" customWidth="1"/>
    <col min="25" max="25" width="8.5703125" customWidth="1"/>
    <col min="26" max="26" width="15.7109375" customWidth="1"/>
    <col min="27" max="27" width="8.42578125" customWidth="1"/>
    <col min="28" max="28" width="8.5703125" style="312" customWidth="1"/>
    <col min="29" max="29" width="15.7109375" customWidth="1"/>
    <col min="30" max="31" width="8.42578125" customWidth="1"/>
    <col min="32" max="32" width="16" bestFit="1" customWidth="1"/>
    <col min="33" max="33" width="8.42578125" customWidth="1"/>
    <col min="34" max="34" width="8.5703125" style="312" customWidth="1"/>
    <col min="35" max="35" width="15.140625" customWidth="1"/>
    <col min="36" max="36" width="8.42578125" customWidth="1"/>
    <col min="37" max="37" width="7.7109375" bestFit="1" customWidth="1"/>
    <col min="38" max="38" width="15.28515625" customWidth="1"/>
    <col min="39" max="39" width="9.140625" customWidth="1"/>
  </cols>
  <sheetData>
    <row r="1" spans="1:39">
      <c r="A1" s="122" t="s">
        <v>100</v>
      </c>
    </row>
    <row r="2" spans="1:39" ht="24" customHeight="1">
      <c r="A2" s="494" t="s">
        <v>148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</row>
    <row r="3" spans="1:39" ht="13.5" customHeight="1" thickBot="1"/>
    <row r="4" spans="1:39" ht="12.75" customHeight="1">
      <c r="A4" s="500" t="s">
        <v>13</v>
      </c>
      <c r="B4" s="479">
        <v>2005</v>
      </c>
      <c r="C4" s="479"/>
      <c r="D4" s="479">
        <v>2006</v>
      </c>
      <c r="E4" s="479"/>
      <c r="F4" s="479">
        <v>2007</v>
      </c>
      <c r="G4" s="479"/>
      <c r="H4" s="479">
        <v>2008</v>
      </c>
      <c r="I4" s="479"/>
      <c r="J4" s="479">
        <v>2009</v>
      </c>
      <c r="K4" s="479"/>
      <c r="L4" s="488" t="s">
        <v>32</v>
      </c>
      <c r="M4" s="479">
        <v>2010</v>
      </c>
      <c r="N4" s="479"/>
      <c r="O4" s="488" t="s">
        <v>33</v>
      </c>
      <c r="P4" s="479">
        <v>2011</v>
      </c>
      <c r="Q4" s="479"/>
      <c r="R4" s="488" t="s">
        <v>34</v>
      </c>
      <c r="S4" s="479">
        <v>2012</v>
      </c>
      <c r="T4" s="479"/>
      <c r="U4" s="488" t="s">
        <v>59</v>
      </c>
      <c r="V4" s="479">
        <v>2013</v>
      </c>
      <c r="W4" s="479"/>
      <c r="X4" s="488" t="s">
        <v>92</v>
      </c>
      <c r="Y4" s="479">
        <v>2014</v>
      </c>
      <c r="Z4" s="479"/>
      <c r="AA4" s="488" t="s">
        <v>114</v>
      </c>
      <c r="AB4" s="490">
        <v>2015</v>
      </c>
      <c r="AC4" s="490"/>
      <c r="AD4" s="491" t="s">
        <v>115</v>
      </c>
      <c r="AE4" s="479">
        <v>2016</v>
      </c>
      <c r="AF4" s="479"/>
      <c r="AG4" s="481" t="s">
        <v>118</v>
      </c>
      <c r="AH4" s="483">
        <v>2017</v>
      </c>
      <c r="AI4" s="479"/>
      <c r="AJ4" s="484" t="s">
        <v>121</v>
      </c>
      <c r="AK4" s="479">
        <v>2018</v>
      </c>
      <c r="AL4" s="479"/>
      <c r="AM4" s="481" t="s">
        <v>143</v>
      </c>
    </row>
    <row r="5" spans="1:39" ht="12.75" customHeight="1">
      <c r="A5" s="501"/>
      <c r="B5" s="211" t="s">
        <v>14</v>
      </c>
      <c r="C5" s="211" t="s">
        <v>15</v>
      </c>
      <c r="D5" s="211" t="s">
        <v>14</v>
      </c>
      <c r="E5" s="211" t="s">
        <v>15</v>
      </c>
      <c r="F5" s="211" t="s">
        <v>14</v>
      </c>
      <c r="G5" s="211" t="s">
        <v>15</v>
      </c>
      <c r="H5" s="211" t="s">
        <v>14</v>
      </c>
      <c r="I5" s="480" t="s">
        <v>58</v>
      </c>
      <c r="J5" s="211" t="s">
        <v>14</v>
      </c>
      <c r="K5" s="480" t="s">
        <v>58</v>
      </c>
      <c r="L5" s="489"/>
      <c r="M5" s="211" t="s">
        <v>14</v>
      </c>
      <c r="N5" s="480" t="s">
        <v>58</v>
      </c>
      <c r="O5" s="489"/>
      <c r="P5" s="211" t="s">
        <v>14</v>
      </c>
      <c r="Q5" s="480" t="s">
        <v>58</v>
      </c>
      <c r="R5" s="489"/>
      <c r="S5" s="486" t="s">
        <v>147</v>
      </c>
      <c r="T5" s="480" t="s">
        <v>58</v>
      </c>
      <c r="U5" s="489"/>
      <c r="V5" s="486" t="s">
        <v>147</v>
      </c>
      <c r="W5" s="480" t="s">
        <v>58</v>
      </c>
      <c r="X5" s="489"/>
      <c r="Y5" s="486" t="s">
        <v>147</v>
      </c>
      <c r="Z5" s="480" t="s">
        <v>58</v>
      </c>
      <c r="AA5" s="489"/>
      <c r="AB5" s="486" t="s">
        <v>147</v>
      </c>
      <c r="AC5" s="493" t="s">
        <v>58</v>
      </c>
      <c r="AD5" s="492"/>
      <c r="AE5" s="486" t="s">
        <v>147</v>
      </c>
      <c r="AF5" s="480" t="s">
        <v>58</v>
      </c>
      <c r="AG5" s="482"/>
      <c r="AH5" s="486" t="s">
        <v>147</v>
      </c>
      <c r="AI5" s="480" t="s">
        <v>58</v>
      </c>
      <c r="AJ5" s="485"/>
      <c r="AK5" s="486" t="s">
        <v>147</v>
      </c>
      <c r="AL5" s="480" t="s">
        <v>58</v>
      </c>
      <c r="AM5" s="482"/>
    </row>
    <row r="6" spans="1:39" ht="31.5" customHeight="1">
      <c r="A6" s="501"/>
      <c r="B6" s="212" t="s">
        <v>16</v>
      </c>
      <c r="C6" s="211" t="s">
        <v>30</v>
      </c>
      <c r="D6" s="211" t="s">
        <v>16</v>
      </c>
      <c r="E6" s="211" t="s">
        <v>17</v>
      </c>
      <c r="F6" s="212" t="s">
        <v>16</v>
      </c>
      <c r="G6" s="211" t="s">
        <v>17</v>
      </c>
      <c r="H6" s="211" t="s">
        <v>50</v>
      </c>
      <c r="I6" s="480"/>
      <c r="J6" s="211" t="s">
        <v>50</v>
      </c>
      <c r="K6" s="480"/>
      <c r="L6" s="489"/>
      <c r="M6" s="211" t="s">
        <v>50</v>
      </c>
      <c r="N6" s="480"/>
      <c r="O6" s="489"/>
      <c r="P6" s="211" t="s">
        <v>50</v>
      </c>
      <c r="Q6" s="480"/>
      <c r="R6" s="489"/>
      <c r="S6" s="487"/>
      <c r="T6" s="480"/>
      <c r="U6" s="489"/>
      <c r="V6" s="487"/>
      <c r="W6" s="480"/>
      <c r="X6" s="489"/>
      <c r="Y6" s="487"/>
      <c r="Z6" s="480"/>
      <c r="AA6" s="489"/>
      <c r="AB6" s="487"/>
      <c r="AC6" s="493"/>
      <c r="AD6" s="492"/>
      <c r="AE6" s="487"/>
      <c r="AF6" s="480"/>
      <c r="AG6" s="482"/>
      <c r="AH6" s="487"/>
      <c r="AI6" s="480"/>
      <c r="AJ6" s="485"/>
      <c r="AK6" s="487"/>
      <c r="AL6" s="480"/>
      <c r="AM6" s="482"/>
    </row>
    <row r="7" spans="1:39" ht="15" customHeight="1">
      <c r="A7" s="213" t="s">
        <v>19</v>
      </c>
      <c r="B7" s="26">
        <v>14673</v>
      </c>
      <c r="C7" s="214">
        <v>2940510</v>
      </c>
      <c r="D7" s="26">
        <v>14562</v>
      </c>
      <c r="E7" s="58">
        <v>3818295</v>
      </c>
      <c r="F7" s="26">
        <v>14489</v>
      </c>
      <c r="G7" s="214">
        <v>3005355</v>
      </c>
      <c r="H7" s="26">
        <v>12860</v>
      </c>
      <c r="I7" s="58">
        <v>6429356</v>
      </c>
      <c r="J7" s="26">
        <v>14841</v>
      </c>
      <c r="K7" s="59">
        <v>5725662</v>
      </c>
      <c r="L7" s="206">
        <f t="shared" ref="L7:L21" si="0">J7/H7-1</f>
        <v>0.15404354587869373</v>
      </c>
      <c r="M7" s="26">
        <v>20020</v>
      </c>
      <c r="N7" s="64">
        <v>6402802</v>
      </c>
      <c r="O7" s="180">
        <f t="shared" ref="O7:O21" si="1">M7/J7-1</f>
        <v>0.34896570311973596</v>
      </c>
      <c r="P7" s="26">
        <v>20351</v>
      </c>
      <c r="Q7" s="64">
        <v>7694758</v>
      </c>
      <c r="R7" s="180">
        <f t="shared" ref="R7:R21" si="2">P7/M7-1</f>
        <v>1.6533466533466434E-2</v>
      </c>
      <c r="S7" s="26">
        <v>24571</v>
      </c>
      <c r="T7" s="64">
        <v>7876600</v>
      </c>
      <c r="U7" s="180">
        <f t="shared" ref="U7:U21" si="3">S7/P7-1</f>
        <v>0.20736081765023839</v>
      </c>
      <c r="V7" s="181">
        <v>26620</v>
      </c>
      <c r="W7" s="64">
        <v>12806842</v>
      </c>
      <c r="X7" s="180">
        <v>8.3390989377721603E-2</v>
      </c>
      <c r="Y7" s="26">
        <v>25851</v>
      </c>
      <c r="Z7" s="64">
        <v>12217167.890000001</v>
      </c>
      <c r="AA7" s="180">
        <v>-2.8888054094665661E-2</v>
      </c>
      <c r="AB7" s="181">
        <v>22852</v>
      </c>
      <c r="AC7" s="270">
        <v>8009723.1799999997</v>
      </c>
      <c r="AD7" s="332">
        <v>-0.11601098603535642</v>
      </c>
      <c r="AE7" s="181">
        <v>21711</v>
      </c>
      <c r="AF7" s="305">
        <v>7357934.4800000004</v>
      </c>
      <c r="AG7" s="102">
        <v>-4.992998424645545E-2</v>
      </c>
      <c r="AH7" s="404">
        <f>'δικ κατά μήν και κοιν 2017-2018'!F6</f>
        <v>21603</v>
      </c>
      <c r="AI7" s="305">
        <v>7061370.6100000003</v>
      </c>
      <c r="AJ7" s="401">
        <f>AH7/AE7-1</f>
        <v>-4.9744369213762241E-3</v>
      </c>
      <c r="AK7" s="181">
        <f>'δικ κατά μήν και κοιν 2017-2018'!L6</f>
        <v>20947</v>
      </c>
      <c r="AL7" s="305">
        <v>7429323.2000000002</v>
      </c>
      <c r="AM7" s="102">
        <f t="shared" ref="AM7:AM19" si="4">(AK7/AH7)-1</f>
        <v>-3.0366152849141348E-2</v>
      </c>
    </row>
    <row r="8" spans="1:39" ht="15" customHeight="1">
      <c r="A8" s="213" t="s">
        <v>20</v>
      </c>
      <c r="B8" s="26">
        <v>14411</v>
      </c>
      <c r="C8" s="214">
        <v>3852153</v>
      </c>
      <c r="D8" s="26">
        <v>14322</v>
      </c>
      <c r="E8" s="58">
        <v>3421812</v>
      </c>
      <c r="F8" s="26">
        <v>13985</v>
      </c>
      <c r="G8" s="214">
        <v>4133238</v>
      </c>
      <c r="H8" s="26">
        <v>12872</v>
      </c>
      <c r="I8" s="58">
        <v>7705397</v>
      </c>
      <c r="J8" s="26">
        <v>15214</v>
      </c>
      <c r="K8" s="59">
        <v>7721727</v>
      </c>
      <c r="L8" s="206">
        <f t="shared" si="0"/>
        <v>0.18194530764449968</v>
      </c>
      <c r="M8" s="26">
        <v>18653</v>
      </c>
      <c r="N8" s="64">
        <v>9341322</v>
      </c>
      <c r="O8" s="180">
        <f t="shared" si="1"/>
        <v>0.22604180360194559</v>
      </c>
      <c r="P8" s="26">
        <v>19835</v>
      </c>
      <c r="Q8" s="64">
        <v>9733588</v>
      </c>
      <c r="R8" s="180">
        <f t="shared" si="2"/>
        <v>6.3367822870315837E-2</v>
      </c>
      <c r="S8" s="26">
        <v>23999</v>
      </c>
      <c r="T8" s="64">
        <v>13293238</v>
      </c>
      <c r="U8" s="180">
        <f t="shared" si="3"/>
        <v>0.20993193849256375</v>
      </c>
      <c r="V8" s="181">
        <v>26029</v>
      </c>
      <c r="W8" s="64">
        <v>13168840</v>
      </c>
      <c r="X8" s="180">
        <v>8.4586857785741154E-2</v>
      </c>
      <c r="Y8" s="26">
        <v>24531</v>
      </c>
      <c r="Z8" s="64">
        <v>15484118.310000001</v>
      </c>
      <c r="AA8" s="180">
        <v>-5.75511929002267E-2</v>
      </c>
      <c r="AB8" s="181">
        <v>22115</v>
      </c>
      <c r="AC8" s="270">
        <v>12834958.65</v>
      </c>
      <c r="AD8" s="332">
        <v>-9.8487627899392582E-2</v>
      </c>
      <c r="AE8" s="181">
        <v>20986</v>
      </c>
      <c r="AF8" s="306">
        <v>13209967.01</v>
      </c>
      <c r="AG8" s="102">
        <v>-5.1051322631697982E-2</v>
      </c>
      <c r="AH8" s="404">
        <f>'δικ κατά μήν και κοιν 2017-2018'!F7</f>
        <v>20625</v>
      </c>
      <c r="AI8" s="306">
        <v>10095557.810000001</v>
      </c>
      <c r="AJ8" s="401">
        <f t="shared" ref="AJ8:AJ11" si="5">AH8/AE8-1</f>
        <v>-1.7201944153245052E-2</v>
      </c>
      <c r="AK8" s="181">
        <f>'δικ κατά μήν και κοιν 2017-2018'!L7</f>
        <v>18932</v>
      </c>
      <c r="AL8" s="306">
        <v>10754630.800000001</v>
      </c>
      <c r="AM8" s="102">
        <f t="shared" si="4"/>
        <v>-8.2084848484848538E-2</v>
      </c>
    </row>
    <row r="9" spans="1:39" ht="15" customHeight="1">
      <c r="A9" s="213" t="s">
        <v>21</v>
      </c>
      <c r="B9" s="26">
        <v>13289</v>
      </c>
      <c r="C9" s="214">
        <v>4243776</v>
      </c>
      <c r="D9" s="26">
        <v>13512</v>
      </c>
      <c r="E9" s="58">
        <v>4348349</v>
      </c>
      <c r="F9" s="26">
        <v>12972</v>
      </c>
      <c r="G9" s="214">
        <v>4375808</v>
      </c>
      <c r="H9" s="26">
        <v>12054</v>
      </c>
      <c r="I9" s="59">
        <v>6561430</v>
      </c>
      <c r="J9" s="26">
        <v>15070</v>
      </c>
      <c r="K9" s="59">
        <v>6994997</v>
      </c>
      <c r="L9" s="206">
        <f t="shared" si="0"/>
        <v>0.25020740003318398</v>
      </c>
      <c r="M9" s="26">
        <v>18118</v>
      </c>
      <c r="N9" s="64">
        <v>12306668</v>
      </c>
      <c r="O9" s="180">
        <f t="shared" si="1"/>
        <v>0.20225613802256137</v>
      </c>
      <c r="P9" s="26">
        <v>18795</v>
      </c>
      <c r="Q9" s="64">
        <v>16379537</v>
      </c>
      <c r="R9" s="180">
        <f t="shared" si="2"/>
        <v>3.7366155204768825E-2</v>
      </c>
      <c r="S9" s="26">
        <v>23365</v>
      </c>
      <c r="T9" s="64">
        <v>13221451</v>
      </c>
      <c r="U9" s="180">
        <f t="shared" si="3"/>
        <v>0.24314977387603087</v>
      </c>
      <c r="V9" s="181">
        <v>25463</v>
      </c>
      <c r="W9" s="64">
        <v>8845520</v>
      </c>
      <c r="X9" s="180">
        <v>8.9792424566659479E-2</v>
      </c>
      <c r="Y9" s="26">
        <v>22756</v>
      </c>
      <c r="Z9" s="64">
        <v>21530313.949999999</v>
      </c>
      <c r="AA9" s="180">
        <v>-0.10631111809291915</v>
      </c>
      <c r="AB9" s="181">
        <v>21503</v>
      </c>
      <c r="AC9" s="270">
        <v>16495174.210000001</v>
      </c>
      <c r="AD9" s="332">
        <v>-5.5062401124978066E-2</v>
      </c>
      <c r="AE9" s="181">
        <v>18701</v>
      </c>
      <c r="AF9" s="306">
        <v>14919427.77</v>
      </c>
      <c r="AG9" s="102">
        <v>-0.13030739896758592</v>
      </c>
      <c r="AH9" s="404">
        <f>'δικ κατά μήν και κοιν 2017-2018'!F8</f>
        <v>18583</v>
      </c>
      <c r="AI9" s="333">
        <v>16551348.83</v>
      </c>
      <c r="AJ9" s="401">
        <f t="shared" si="5"/>
        <v>-6.3098230041174208E-3</v>
      </c>
      <c r="AK9" s="181">
        <f>'δικ κατά μήν και κοιν 2017-2018'!L8</f>
        <v>16685</v>
      </c>
      <c r="AL9" s="333">
        <v>13627813.359999999</v>
      </c>
      <c r="AM9" s="102">
        <f t="shared" si="4"/>
        <v>-0.1021363611903352</v>
      </c>
    </row>
    <row r="10" spans="1:39" ht="15" customHeight="1">
      <c r="A10" s="213" t="s">
        <v>22</v>
      </c>
      <c r="B10" s="26">
        <v>8005</v>
      </c>
      <c r="C10" s="214">
        <v>3585663</v>
      </c>
      <c r="D10" s="26">
        <v>8879</v>
      </c>
      <c r="E10" s="58">
        <v>4502221</v>
      </c>
      <c r="F10" s="26">
        <v>8319</v>
      </c>
      <c r="G10" s="214">
        <v>3911497</v>
      </c>
      <c r="H10" s="26">
        <v>7536</v>
      </c>
      <c r="I10" s="58">
        <v>6895257</v>
      </c>
      <c r="J10" s="26">
        <v>11372</v>
      </c>
      <c r="K10" s="58">
        <v>6955494</v>
      </c>
      <c r="L10" s="206">
        <f t="shared" si="0"/>
        <v>0.50902335456475578</v>
      </c>
      <c r="M10" s="26">
        <v>13085</v>
      </c>
      <c r="N10" s="63">
        <v>8344709</v>
      </c>
      <c r="O10" s="180">
        <f t="shared" si="1"/>
        <v>0.1506331340133662</v>
      </c>
      <c r="P10" s="26">
        <v>14693</v>
      </c>
      <c r="Q10" s="63">
        <v>8299999</v>
      </c>
      <c r="R10" s="180">
        <f t="shared" si="2"/>
        <v>0.12288880397401614</v>
      </c>
      <c r="S10" s="26">
        <v>20574</v>
      </c>
      <c r="T10" s="63">
        <v>16676663</v>
      </c>
      <c r="U10" s="180">
        <f t="shared" si="3"/>
        <v>0.40025862655686373</v>
      </c>
      <c r="V10" s="181">
        <v>22232</v>
      </c>
      <c r="W10" s="63">
        <v>28124828</v>
      </c>
      <c r="X10" s="180">
        <v>8.0587148828618727E-2</v>
      </c>
      <c r="Y10" s="26">
        <v>16029</v>
      </c>
      <c r="Z10" s="63">
        <v>8958941.1099999994</v>
      </c>
      <c r="AA10" s="180">
        <v>-0.27901223461676861</v>
      </c>
      <c r="AB10" s="181">
        <v>14653</v>
      </c>
      <c r="AC10" s="216">
        <v>9258461.4900000002</v>
      </c>
      <c r="AD10" s="332">
        <v>-8.5844407012290236E-2</v>
      </c>
      <c r="AE10" s="181">
        <v>12541</v>
      </c>
      <c r="AF10" s="306">
        <v>11580668.84</v>
      </c>
      <c r="AG10" s="102">
        <v>-0.14413430696785645</v>
      </c>
      <c r="AH10" s="404">
        <f>'δικ κατά μήν και κοιν 2017-2018'!F9</f>
        <v>12509</v>
      </c>
      <c r="AI10" s="306">
        <v>9722923.1099999994</v>
      </c>
      <c r="AJ10" s="401">
        <f t="shared" si="5"/>
        <v>-2.5516306514632436E-3</v>
      </c>
      <c r="AK10" s="181">
        <f>'δικ κατά μήν και κοιν 2017-2018'!L9</f>
        <v>11727</v>
      </c>
      <c r="AL10" s="306">
        <v>8791360.4499999993</v>
      </c>
      <c r="AM10" s="102">
        <f t="shared" si="4"/>
        <v>-6.2514989207770433E-2</v>
      </c>
    </row>
    <row r="11" spans="1:39" ht="15" customHeight="1">
      <c r="A11" s="213" t="s">
        <v>23</v>
      </c>
      <c r="B11" s="26">
        <v>7266</v>
      </c>
      <c r="C11" s="214">
        <v>2647918</v>
      </c>
      <c r="D11" s="26">
        <v>7355</v>
      </c>
      <c r="E11" s="58">
        <v>2639504.41</v>
      </c>
      <c r="F11" s="26">
        <v>6149</v>
      </c>
      <c r="G11" s="214">
        <v>3349936</v>
      </c>
      <c r="H11" s="26">
        <v>5808</v>
      </c>
      <c r="I11" s="58">
        <v>4136432</v>
      </c>
      <c r="J11" s="26">
        <v>9699</v>
      </c>
      <c r="K11" s="58">
        <v>9179790</v>
      </c>
      <c r="L11" s="206">
        <f t="shared" si="0"/>
        <v>0.66993801652892571</v>
      </c>
      <c r="M11" s="26">
        <v>10740</v>
      </c>
      <c r="N11" s="63">
        <v>10398300</v>
      </c>
      <c r="O11" s="180">
        <f t="shared" si="1"/>
        <v>0.10733065264460251</v>
      </c>
      <c r="P11" s="26">
        <v>12109</v>
      </c>
      <c r="Q11" s="63">
        <v>8780870</v>
      </c>
      <c r="R11" s="180">
        <f t="shared" si="2"/>
        <v>0.1274674115456238</v>
      </c>
      <c r="S11" s="26">
        <v>15841</v>
      </c>
      <c r="T11" s="63">
        <v>14404648</v>
      </c>
      <c r="U11" s="180">
        <f t="shared" si="3"/>
        <v>0.30820051201585597</v>
      </c>
      <c r="V11" s="181">
        <v>18833</v>
      </c>
      <c r="W11" s="63">
        <v>12962000</v>
      </c>
      <c r="X11" s="180">
        <v>0.18887696483807837</v>
      </c>
      <c r="Y11" s="26">
        <v>11451</v>
      </c>
      <c r="Z11" s="63">
        <v>15803638.560000001</v>
      </c>
      <c r="AA11" s="180">
        <v>-0.39197153931927997</v>
      </c>
      <c r="AB11" s="181">
        <v>9932</v>
      </c>
      <c r="AC11" s="216">
        <v>12898529.34</v>
      </c>
      <c r="AD11" s="332">
        <v>-0.13265217011614705</v>
      </c>
      <c r="AE11" s="181">
        <v>8468</v>
      </c>
      <c r="AF11" s="307">
        <v>5165648.1399999997</v>
      </c>
      <c r="AG11" s="102">
        <v>-0.1474023358840113</v>
      </c>
      <c r="AH11" s="404">
        <f>'δικ κατά μήν και κοιν 2017-2018'!F10</f>
        <v>7921</v>
      </c>
      <c r="AI11" s="270">
        <v>8785684.6400000006</v>
      </c>
      <c r="AJ11" s="401">
        <f t="shared" si="5"/>
        <v>-6.459612659423708E-2</v>
      </c>
      <c r="AK11" s="181">
        <f>'δικ κατά μήν και κοιν 2017-2018'!L10</f>
        <v>6524</v>
      </c>
      <c r="AL11" s="270">
        <v>6041732</v>
      </c>
      <c r="AM11" s="102">
        <f t="shared" si="4"/>
        <v>-0.17636662037621509</v>
      </c>
    </row>
    <row r="12" spans="1:39" ht="15" customHeight="1" thickBot="1">
      <c r="A12" s="217" t="s">
        <v>24</v>
      </c>
      <c r="B12" s="19">
        <v>7282</v>
      </c>
      <c r="C12" s="218">
        <v>2036403</v>
      </c>
      <c r="D12" s="19">
        <v>7260</v>
      </c>
      <c r="E12" s="72">
        <v>1734611.23</v>
      </c>
      <c r="F12" s="19">
        <v>6516</v>
      </c>
      <c r="G12" s="218">
        <v>2056713</v>
      </c>
      <c r="H12" s="19">
        <v>5954</v>
      </c>
      <c r="I12" s="72">
        <v>2584829.96</v>
      </c>
      <c r="J12" s="19">
        <v>10145</v>
      </c>
      <c r="K12" s="72">
        <v>4954591</v>
      </c>
      <c r="L12" s="219">
        <f t="shared" si="0"/>
        <v>0.70389654014108172</v>
      </c>
      <c r="M12" s="19">
        <v>11103</v>
      </c>
      <c r="N12" s="68">
        <v>6021837</v>
      </c>
      <c r="O12" s="182">
        <f t="shared" si="1"/>
        <v>9.4430754066042288E-2</v>
      </c>
      <c r="P12" s="19">
        <v>12719</v>
      </c>
      <c r="Q12" s="68">
        <v>6967932</v>
      </c>
      <c r="R12" s="182">
        <f t="shared" si="2"/>
        <v>0.14554624876159594</v>
      </c>
      <c r="S12" s="19">
        <v>15488</v>
      </c>
      <c r="T12" s="68">
        <v>9288140</v>
      </c>
      <c r="U12" s="182">
        <f t="shared" si="3"/>
        <v>0.21770579448069816</v>
      </c>
      <c r="V12" s="186">
        <v>18956</v>
      </c>
      <c r="W12" s="68">
        <v>10602509</v>
      </c>
      <c r="X12" s="182">
        <v>0.22391528925619841</v>
      </c>
      <c r="Y12" s="19">
        <v>11520</v>
      </c>
      <c r="Z12" s="68">
        <v>6037919.7999999998</v>
      </c>
      <c r="AA12" s="182">
        <v>-0.39227685165646764</v>
      </c>
      <c r="AB12" s="314">
        <v>9972</v>
      </c>
      <c r="AC12" s="296">
        <v>5320199.95</v>
      </c>
      <c r="AD12" s="336">
        <v>-0.13437500000000002</v>
      </c>
      <c r="AE12" s="186">
        <v>7968</v>
      </c>
      <c r="AF12" s="296">
        <v>4609951.57</v>
      </c>
      <c r="AG12" s="335">
        <v>-0.2009626955475331</v>
      </c>
      <c r="AH12" s="404">
        <f>'δικ κατά μήν και κοιν 2017-2018'!F11</f>
        <v>7160</v>
      </c>
      <c r="AI12" s="296">
        <v>3097782.99</v>
      </c>
      <c r="AJ12" s="402">
        <f>AH12/AE12-1</f>
        <v>-0.10140562248995988</v>
      </c>
      <c r="AK12" s="181">
        <f>'δικ κατά μήν και κοιν 2017-2018'!L11</f>
        <v>6780</v>
      </c>
      <c r="AL12" s="296">
        <v>3699166.55</v>
      </c>
      <c r="AM12" s="102">
        <f t="shared" si="4"/>
        <v>-5.307262569832405E-2</v>
      </c>
    </row>
    <row r="13" spans="1:39" s="312" customFormat="1" ht="60.75" customHeight="1" thickBot="1">
      <c r="A13" s="318" t="s">
        <v>51</v>
      </c>
      <c r="B13" s="233">
        <f>AVERAGE(B7:B12)</f>
        <v>10821</v>
      </c>
      <c r="C13" s="319">
        <f>SUM(C7:C12)</f>
        <v>19306423</v>
      </c>
      <c r="D13" s="233">
        <f>AVERAGE(D7:D12)</f>
        <v>10981.666666666666</v>
      </c>
      <c r="E13" s="320">
        <f>SUM(E7:E12)</f>
        <v>20464792.640000001</v>
      </c>
      <c r="F13" s="233">
        <f>AVERAGE(F7:F12)</f>
        <v>10405</v>
      </c>
      <c r="G13" s="319">
        <f>SUM(G7:G12)</f>
        <v>20832547</v>
      </c>
      <c r="H13" s="233">
        <f>AVERAGE(H7:H12)</f>
        <v>9514</v>
      </c>
      <c r="I13" s="321">
        <f>SUM(I7:I12)</f>
        <v>34312701.960000001</v>
      </c>
      <c r="J13" s="233">
        <f>AVERAGE(J7:J12)</f>
        <v>12723.5</v>
      </c>
      <c r="K13" s="321">
        <f>SUM(K7:K12)</f>
        <v>41532261</v>
      </c>
      <c r="L13" s="322">
        <f t="shared" si="0"/>
        <v>0.33734496531427371</v>
      </c>
      <c r="M13" s="233">
        <f>AVERAGE(M7:M12)</f>
        <v>15286.5</v>
      </c>
      <c r="N13" s="323">
        <f>SUM(N7:N12)</f>
        <v>52815638</v>
      </c>
      <c r="O13" s="324">
        <f t="shared" si="1"/>
        <v>0.20143828349117765</v>
      </c>
      <c r="P13" s="233">
        <f>AVERAGE(P7:P12)</f>
        <v>16417</v>
      </c>
      <c r="Q13" s="323">
        <f>SUM(Q7:Q12)</f>
        <v>57856684</v>
      </c>
      <c r="R13" s="324">
        <f t="shared" si="2"/>
        <v>7.3954142544074841E-2</v>
      </c>
      <c r="S13" s="233">
        <f>AVERAGE(S7:S12)</f>
        <v>20639.666666666668</v>
      </c>
      <c r="T13" s="323">
        <f>SUM(T7:T12)</f>
        <v>74760740</v>
      </c>
      <c r="U13" s="324">
        <f t="shared" si="3"/>
        <v>0.25721305151164442</v>
      </c>
      <c r="V13" s="233">
        <f>AVERAGE(V7:V12)</f>
        <v>23022.166666666668</v>
      </c>
      <c r="W13" s="323">
        <f>SUM(W7:W12)</f>
        <v>86510539</v>
      </c>
      <c r="X13" s="322">
        <f t="shared" ref="X13" si="6">V13/S13-1</f>
        <v>0.1154330657794862</v>
      </c>
      <c r="Y13" s="310">
        <v>18689.666666666668</v>
      </c>
      <c r="Z13" s="323">
        <v>80032099.620000005</v>
      </c>
      <c r="AA13" s="322">
        <v>-0.18818819543483456</v>
      </c>
      <c r="AB13" s="315">
        <v>16837.833333333332</v>
      </c>
      <c r="AC13" s="323">
        <v>64817046.820000008</v>
      </c>
      <c r="AD13" s="382">
        <v>-9.9083272396511601E-2</v>
      </c>
      <c r="AE13" s="383">
        <v>15062.5</v>
      </c>
      <c r="AF13" s="323">
        <v>56843597.81000001</v>
      </c>
      <c r="AG13" s="344">
        <v>-0.10543716036307116</v>
      </c>
      <c r="AH13" s="405">
        <f>'δικ κατά μήν και κοιν 2017-2018'!F12</f>
        <v>14733.5</v>
      </c>
      <c r="AI13" s="323">
        <f>SUM(AI7:AI12)</f>
        <v>55314667.990000002</v>
      </c>
      <c r="AJ13" s="420">
        <f>AH13/AE13-1</f>
        <v>-2.1842323651452333E-2</v>
      </c>
      <c r="AK13" s="417">
        <f>AVERAGE(AK5:AK12)</f>
        <v>13599.166666666666</v>
      </c>
      <c r="AL13" s="323">
        <f>SUM(AL7:AL12)</f>
        <v>50344026.359999999</v>
      </c>
      <c r="AM13" s="384">
        <f t="shared" si="4"/>
        <v>-7.6990079297745595E-2</v>
      </c>
    </row>
    <row r="14" spans="1:39" ht="15" customHeight="1">
      <c r="A14" s="220" t="s">
        <v>25</v>
      </c>
      <c r="B14" s="27">
        <v>8708</v>
      </c>
      <c r="C14" s="221">
        <v>1031804</v>
      </c>
      <c r="D14" s="27">
        <v>8866</v>
      </c>
      <c r="E14" s="222">
        <v>2106129</v>
      </c>
      <c r="F14" s="27">
        <v>8061</v>
      </c>
      <c r="G14" s="221">
        <v>1502791</v>
      </c>
      <c r="H14" s="27">
        <v>7529</v>
      </c>
      <c r="I14" s="222">
        <v>2428466</v>
      </c>
      <c r="J14" s="27">
        <v>12127</v>
      </c>
      <c r="K14" s="222">
        <v>5106587</v>
      </c>
      <c r="L14" s="223">
        <f t="shared" si="0"/>
        <v>0.61070527294461407</v>
      </c>
      <c r="M14" s="27">
        <v>12749</v>
      </c>
      <c r="N14" s="82">
        <v>3590014</v>
      </c>
      <c r="O14" s="184">
        <f t="shared" si="1"/>
        <v>5.1290508782056543E-2</v>
      </c>
      <c r="P14" s="27">
        <v>14759</v>
      </c>
      <c r="Q14" s="82">
        <v>3742612</v>
      </c>
      <c r="R14" s="184">
        <f t="shared" si="2"/>
        <v>0.15765942426857005</v>
      </c>
      <c r="S14" s="27">
        <v>17559</v>
      </c>
      <c r="T14" s="82">
        <v>7397094</v>
      </c>
      <c r="U14" s="184">
        <f t="shared" si="3"/>
        <v>0.18971475032183749</v>
      </c>
      <c r="V14" s="224">
        <v>20026</v>
      </c>
      <c r="W14" s="82">
        <v>8606327</v>
      </c>
      <c r="X14" s="184">
        <v>0.14049775044136914</v>
      </c>
      <c r="Y14" s="27">
        <v>12962</v>
      </c>
      <c r="Z14" s="82">
        <v>7529240.8700000001</v>
      </c>
      <c r="AA14" s="225">
        <v>-0.35274143613302711</v>
      </c>
      <c r="AB14" s="316">
        <v>11922</v>
      </c>
      <c r="AC14" s="337">
        <v>5223997.03</v>
      </c>
      <c r="AD14" s="338">
        <v>-8.0234531708069712E-2</v>
      </c>
      <c r="AE14" s="341">
        <v>10340</v>
      </c>
      <c r="AF14" s="82">
        <v>4120406.06</v>
      </c>
      <c r="AG14" s="304">
        <v>-0.13269585639993287</v>
      </c>
      <c r="AH14" s="381">
        <f>'δικ κατά μήν και κοιν 2017-2018'!F13</f>
        <v>9661</v>
      </c>
      <c r="AI14" s="82">
        <v>3724143.08</v>
      </c>
      <c r="AJ14" s="401">
        <f>AH14/AE14-1</f>
        <v>-6.5667311411992224E-2</v>
      </c>
      <c r="AK14" s="224">
        <f>'δικ κατά μήν και κοιν 2017-2018'!L13</f>
        <v>9403</v>
      </c>
      <c r="AL14" s="337">
        <v>2228316.34</v>
      </c>
      <c r="AM14" s="226">
        <f t="shared" si="4"/>
        <v>-2.6705310009315752E-2</v>
      </c>
    </row>
    <row r="15" spans="1:39" ht="15" customHeight="1">
      <c r="A15" s="213" t="s">
        <v>7</v>
      </c>
      <c r="B15" s="26">
        <v>8419</v>
      </c>
      <c r="C15" s="214">
        <v>2904935.01</v>
      </c>
      <c r="D15" s="26">
        <v>8827</v>
      </c>
      <c r="E15" s="58">
        <v>1377861</v>
      </c>
      <c r="F15" s="26">
        <v>7992</v>
      </c>
      <c r="G15" s="214">
        <v>2217876</v>
      </c>
      <c r="H15" s="26">
        <v>7648</v>
      </c>
      <c r="I15" s="58">
        <v>3006346</v>
      </c>
      <c r="J15" s="26">
        <v>12023</v>
      </c>
      <c r="K15" s="58">
        <v>4571245</v>
      </c>
      <c r="L15" s="206">
        <f t="shared" si="0"/>
        <v>0.57204497907949792</v>
      </c>
      <c r="M15" s="26">
        <v>12320</v>
      </c>
      <c r="N15" s="63">
        <v>5135684</v>
      </c>
      <c r="O15" s="180">
        <f t="shared" si="1"/>
        <v>2.470265324794152E-2</v>
      </c>
      <c r="P15" s="26">
        <v>14356</v>
      </c>
      <c r="Q15" s="63">
        <v>5949558</v>
      </c>
      <c r="R15" s="180">
        <f t="shared" si="2"/>
        <v>0.16525974025974022</v>
      </c>
      <c r="S15" s="26">
        <v>16606</v>
      </c>
      <c r="T15" s="63">
        <v>6406861</v>
      </c>
      <c r="U15" s="180">
        <f t="shared" si="3"/>
        <v>0.15672889384229594</v>
      </c>
      <c r="V15" s="181">
        <v>19330</v>
      </c>
      <c r="W15" s="63">
        <v>9095878</v>
      </c>
      <c r="X15" s="180">
        <v>0.16403709502589425</v>
      </c>
      <c r="Y15" s="26">
        <v>12376</v>
      </c>
      <c r="Z15" s="63">
        <v>4793045.2300000004</v>
      </c>
      <c r="AA15" s="215">
        <v>-0.3597516813243663</v>
      </c>
      <c r="AB15" s="181">
        <v>11497</v>
      </c>
      <c r="AC15" s="216">
        <v>4088196.16</v>
      </c>
      <c r="AD15" s="332">
        <v>-7.1024563671622465E-2</v>
      </c>
      <c r="AE15" s="342">
        <v>10709</v>
      </c>
      <c r="AF15" s="216">
        <v>3810781.64</v>
      </c>
      <c r="AG15" s="102">
        <v>-6.8539619031051546E-2</v>
      </c>
      <c r="AH15" s="379">
        <f>'δικ κατά μήν και κοιν 2017-2018'!F14</f>
        <v>9809</v>
      </c>
      <c r="AI15" s="216">
        <v>4342969.79</v>
      </c>
      <c r="AJ15" s="401">
        <f t="shared" ref="AJ15:AJ21" si="7">AH15/AE15-1</f>
        <v>-8.404146045382388E-2</v>
      </c>
      <c r="AK15" s="224">
        <f>'δικ κατά μήν και κοιν 2017-2018'!L14</f>
        <v>9633</v>
      </c>
      <c r="AL15" s="216">
        <v>5731547</v>
      </c>
      <c r="AM15" s="226">
        <f t="shared" si="4"/>
        <v>-1.794270567845857E-2</v>
      </c>
    </row>
    <row r="16" spans="1:39" ht="15" customHeight="1">
      <c r="A16" s="213" t="s">
        <v>26</v>
      </c>
      <c r="B16" s="26">
        <v>7846</v>
      </c>
      <c r="C16" s="214">
        <v>2923665.34</v>
      </c>
      <c r="D16" s="26">
        <v>8413</v>
      </c>
      <c r="E16" s="58">
        <v>3020351.79</v>
      </c>
      <c r="F16" s="26">
        <v>7618</v>
      </c>
      <c r="G16" s="214">
        <v>2150669</v>
      </c>
      <c r="H16" s="26">
        <v>6945</v>
      </c>
      <c r="I16" s="58">
        <v>3873569</v>
      </c>
      <c r="J16" s="26">
        <v>11661</v>
      </c>
      <c r="K16" s="58">
        <v>7025665</v>
      </c>
      <c r="L16" s="206">
        <f t="shared" si="0"/>
        <v>0.67904967602591793</v>
      </c>
      <c r="M16" s="26">
        <v>11323</v>
      </c>
      <c r="N16" s="63">
        <v>8542058</v>
      </c>
      <c r="O16" s="180">
        <f t="shared" si="1"/>
        <v>-2.8985507246376829E-2</v>
      </c>
      <c r="P16" s="26">
        <v>13780</v>
      </c>
      <c r="Q16" s="63">
        <v>8229483</v>
      </c>
      <c r="R16" s="180">
        <f t="shared" si="2"/>
        <v>0.21699196326061987</v>
      </c>
      <c r="S16" s="26">
        <v>16394</v>
      </c>
      <c r="T16" s="63">
        <v>11517137</v>
      </c>
      <c r="U16" s="180">
        <f t="shared" si="3"/>
        <v>0.18969521044992743</v>
      </c>
      <c r="V16" s="181">
        <v>19612</v>
      </c>
      <c r="W16" s="63">
        <v>9533807</v>
      </c>
      <c r="X16" s="180">
        <v>0.19629132609491284</v>
      </c>
      <c r="Y16" s="26">
        <v>12280</v>
      </c>
      <c r="Z16" s="63">
        <v>8105076.2800000003</v>
      </c>
      <c r="AA16" s="215">
        <v>-0.37385274321843764</v>
      </c>
      <c r="AB16" s="181">
        <v>9999</v>
      </c>
      <c r="AC16" s="216">
        <v>5349213.13</v>
      </c>
      <c r="AD16" s="332">
        <v>-0.18574918566775245</v>
      </c>
      <c r="AE16" s="342">
        <v>9284</v>
      </c>
      <c r="AF16" s="216">
        <v>6698222.1299999999</v>
      </c>
      <c r="AG16" s="102">
        <v>-7.1507150715071521E-2</v>
      </c>
      <c r="AH16" s="379">
        <f>'δικ κατά μήν και κοιν 2017-2018'!F15</f>
        <v>8058</v>
      </c>
      <c r="AI16" s="216">
        <v>6156472.1299999999</v>
      </c>
      <c r="AJ16" s="401">
        <f t="shared" si="7"/>
        <v>-0.13205514864282641</v>
      </c>
      <c r="AK16" s="224">
        <f>'δικ κατά μήν και κοιν 2017-2018'!L15</f>
        <v>9018</v>
      </c>
      <c r="AL16" s="216">
        <v>5205943</v>
      </c>
      <c r="AM16" s="226">
        <f t="shared" si="4"/>
        <v>0.11913626209977668</v>
      </c>
    </row>
    <row r="17" spans="1:39" ht="15" customHeight="1">
      <c r="A17" s="213" t="s">
        <v>27</v>
      </c>
      <c r="B17" s="26">
        <v>6917</v>
      </c>
      <c r="C17" s="214">
        <v>1827238</v>
      </c>
      <c r="D17" s="26">
        <v>6743</v>
      </c>
      <c r="E17" s="58">
        <v>2304286</v>
      </c>
      <c r="F17" s="26">
        <v>5798</v>
      </c>
      <c r="G17" s="214">
        <v>2070347</v>
      </c>
      <c r="H17" s="26">
        <v>5771</v>
      </c>
      <c r="I17" s="58">
        <v>3454842</v>
      </c>
      <c r="J17" s="26">
        <v>10381</v>
      </c>
      <c r="K17" s="58">
        <v>5069350</v>
      </c>
      <c r="L17" s="206">
        <f t="shared" si="0"/>
        <v>0.79882169468029796</v>
      </c>
      <c r="M17" s="26">
        <v>9802</v>
      </c>
      <c r="N17" s="63">
        <v>4385709</v>
      </c>
      <c r="O17" s="180">
        <f t="shared" si="1"/>
        <v>-5.5774973509295833E-2</v>
      </c>
      <c r="P17" s="26">
        <v>12259</v>
      </c>
      <c r="Q17" s="63">
        <v>7387566</v>
      </c>
      <c r="R17" s="180">
        <f t="shared" si="2"/>
        <v>0.25066312997347473</v>
      </c>
      <c r="S17" s="26">
        <v>14368</v>
      </c>
      <c r="T17" s="63">
        <v>9890312</v>
      </c>
      <c r="U17" s="180">
        <f t="shared" si="3"/>
        <v>0.172036870870381</v>
      </c>
      <c r="V17" s="181">
        <v>16726</v>
      </c>
      <c r="W17" s="63">
        <v>13392733.119999999</v>
      </c>
      <c r="X17" s="180">
        <v>0.16411469933184852</v>
      </c>
      <c r="Y17" s="26">
        <v>10128</v>
      </c>
      <c r="Z17" s="63">
        <v>6274512.7000000002</v>
      </c>
      <c r="AA17" s="215">
        <v>-0.39447566662680855</v>
      </c>
      <c r="AB17" s="181">
        <v>8308</v>
      </c>
      <c r="AC17" s="216">
        <v>7804219.7999999998</v>
      </c>
      <c r="AD17" s="332">
        <v>-0.17969984202211686</v>
      </c>
      <c r="AE17" s="342">
        <v>8161</v>
      </c>
      <c r="AF17" s="216">
        <v>4473853.51</v>
      </c>
      <c r="AG17" s="102">
        <v>-1.7693789118921499E-2</v>
      </c>
      <c r="AH17" s="379">
        <f>'δικ κατά μήν και κοιν 2017-2018'!F16</f>
        <v>6604</v>
      </c>
      <c r="AI17" s="216">
        <v>3411799.89</v>
      </c>
      <c r="AJ17" s="401">
        <f t="shared" si="7"/>
        <v>-0.19078544296042155</v>
      </c>
      <c r="AK17" s="224">
        <f>'δικ κατά μήν και κοιν 2017-2018'!L16</f>
        <v>6850</v>
      </c>
      <c r="AL17" s="216">
        <v>3585385.94</v>
      </c>
      <c r="AM17" s="226">
        <f t="shared" si="4"/>
        <v>3.725015142337984E-2</v>
      </c>
    </row>
    <row r="18" spans="1:39" ht="15" customHeight="1">
      <c r="A18" s="213" t="s">
        <v>28</v>
      </c>
      <c r="B18" s="26">
        <v>10002</v>
      </c>
      <c r="C18" s="214">
        <v>1990787</v>
      </c>
      <c r="D18" s="26">
        <v>10026</v>
      </c>
      <c r="E18" s="58">
        <v>2463829</v>
      </c>
      <c r="F18" s="26">
        <v>8930</v>
      </c>
      <c r="G18" s="214">
        <v>1916507</v>
      </c>
      <c r="H18" s="26">
        <v>9212</v>
      </c>
      <c r="I18" s="58">
        <v>2912126</v>
      </c>
      <c r="J18" s="26">
        <v>14716</v>
      </c>
      <c r="K18" s="58">
        <v>7174890</v>
      </c>
      <c r="L18" s="206">
        <f t="shared" si="0"/>
        <v>0.59748154580981327</v>
      </c>
      <c r="M18" s="26">
        <v>13996</v>
      </c>
      <c r="N18" s="63">
        <v>6514316</v>
      </c>
      <c r="O18" s="180">
        <f t="shared" si="1"/>
        <v>-4.8926338678988879E-2</v>
      </c>
      <c r="P18" s="26">
        <v>17523</v>
      </c>
      <c r="Q18" s="63">
        <v>8227126</v>
      </c>
      <c r="R18" s="180">
        <f t="shared" si="2"/>
        <v>0.25200057159188338</v>
      </c>
      <c r="S18" s="26">
        <v>19761</v>
      </c>
      <c r="T18" s="63">
        <v>7834516</v>
      </c>
      <c r="U18" s="180">
        <f t="shared" si="3"/>
        <v>0.12771785653141587</v>
      </c>
      <c r="V18" s="181">
        <v>21240</v>
      </c>
      <c r="W18" s="63">
        <v>14301504</v>
      </c>
      <c r="X18" s="180">
        <v>7.484439046606961E-2</v>
      </c>
      <c r="Y18" s="26">
        <v>17543</v>
      </c>
      <c r="Z18" s="216">
        <v>4760848.29</v>
      </c>
      <c r="AA18" s="215">
        <v>-0.17405838041431265</v>
      </c>
      <c r="AB18" s="181">
        <v>16302</v>
      </c>
      <c r="AC18" s="216">
        <v>5176106.72</v>
      </c>
      <c r="AD18" s="332">
        <v>-7.0740466282847914E-2</v>
      </c>
      <c r="AE18" s="342">
        <v>15334</v>
      </c>
      <c r="AF18" s="216">
        <v>4954848.5999999996</v>
      </c>
      <c r="AG18" s="102">
        <v>-5.9379217273954121E-2</v>
      </c>
      <c r="AH18" s="379">
        <f>'δικ κατά μήν και κοιν 2017-2018'!F17</f>
        <v>14077</v>
      </c>
      <c r="AI18" s="216">
        <v>2997511.52</v>
      </c>
      <c r="AJ18" s="401">
        <f t="shared" si="7"/>
        <v>-8.1974696752315168E-2</v>
      </c>
      <c r="AK18" s="224">
        <f>'δικ κατά μήν και κοιν 2017-2018'!L17</f>
        <v>15362</v>
      </c>
      <c r="AL18" s="216">
        <v>3793670.84</v>
      </c>
      <c r="AM18" s="226">
        <f t="shared" si="4"/>
        <v>9.1283654187682028E-2</v>
      </c>
    </row>
    <row r="19" spans="1:39" ht="15" customHeight="1" thickBot="1">
      <c r="A19" s="217" t="s">
        <v>29</v>
      </c>
      <c r="B19" s="19">
        <v>13093</v>
      </c>
      <c r="C19" s="218">
        <v>1935627</v>
      </c>
      <c r="D19" s="19">
        <v>12931</v>
      </c>
      <c r="E19" s="72">
        <v>1815997</v>
      </c>
      <c r="F19" s="19">
        <v>12041</v>
      </c>
      <c r="G19" s="218">
        <v>1472275</v>
      </c>
      <c r="H19" s="19">
        <v>12724</v>
      </c>
      <c r="I19" s="72">
        <v>3423575</v>
      </c>
      <c r="J19" s="19">
        <v>18370</v>
      </c>
      <c r="K19" s="72">
        <v>7432835</v>
      </c>
      <c r="L19" s="219">
        <f t="shared" si="0"/>
        <v>0.44372838729959141</v>
      </c>
      <c r="M19" s="19">
        <v>18115</v>
      </c>
      <c r="N19" s="68">
        <v>4825777</v>
      </c>
      <c r="O19" s="182">
        <f t="shared" si="1"/>
        <v>-1.3881328252585701E-2</v>
      </c>
      <c r="P19" s="19">
        <v>22051</v>
      </c>
      <c r="Q19" s="68">
        <v>6997865</v>
      </c>
      <c r="R19" s="182">
        <f t="shared" si="2"/>
        <v>0.21727849848192116</v>
      </c>
      <c r="S19" s="19">
        <v>24195</v>
      </c>
      <c r="T19" s="68">
        <v>6661968</v>
      </c>
      <c r="U19" s="182">
        <f t="shared" si="3"/>
        <v>9.7229150605414816E-2</v>
      </c>
      <c r="V19" s="186">
        <v>24855</v>
      </c>
      <c r="W19" s="68">
        <v>8462540.4199999999</v>
      </c>
      <c r="X19" s="182">
        <v>2.7278363298202102E-2</v>
      </c>
      <c r="Y19" s="19">
        <v>21335</v>
      </c>
      <c r="Z19" s="68">
        <v>5118992.74</v>
      </c>
      <c r="AA19" s="235">
        <v>-0.14162140414403546</v>
      </c>
      <c r="AB19" s="314">
        <v>20543</v>
      </c>
      <c r="AC19" s="296">
        <v>4820164.46</v>
      </c>
      <c r="AD19" s="336">
        <v>-3.7122099835950273E-2</v>
      </c>
      <c r="AE19" s="343">
        <v>20230</v>
      </c>
      <c r="AF19" s="296">
        <v>4347479.6900000004</v>
      </c>
      <c r="AG19" s="335">
        <v>-1.5236333544273006E-2</v>
      </c>
      <c r="AH19" s="380">
        <f>'δικ κατά μήν και κοιν 2017-2018'!F18</f>
        <v>19166</v>
      </c>
      <c r="AI19" s="296">
        <v>3915249</v>
      </c>
      <c r="AJ19" s="402">
        <f t="shared" si="7"/>
        <v>-5.2595155709342589E-2</v>
      </c>
      <c r="AK19" s="224">
        <f>'δικ κατά μήν και κοιν 2017-2018'!L18</f>
        <v>20317</v>
      </c>
      <c r="AL19" s="296">
        <v>4803686.4800000004</v>
      </c>
      <c r="AM19" s="226">
        <f t="shared" si="4"/>
        <v>6.0054262756965571E-2</v>
      </c>
    </row>
    <row r="20" spans="1:39" ht="63" customHeight="1" thickBot="1">
      <c r="A20" s="227" t="s">
        <v>52</v>
      </c>
      <c r="B20" s="236">
        <f>AVERAGE(B14:B19)</f>
        <v>9164.1666666666661</v>
      </c>
      <c r="C20" s="228">
        <f>SUM(C14:C19)</f>
        <v>12614056.35</v>
      </c>
      <c r="D20" s="237">
        <f>AVERAGE(D14:D19)</f>
        <v>9301</v>
      </c>
      <c r="E20" s="229">
        <f>SUM(E14:E19)</f>
        <v>13088453.789999999</v>
      </c>
      <c r="F20" s="236">
        <f>AVERAGE(F14:F19)</f>
        <v>8406.6666666666661</v>
      </c>
      <c r="G20" s="228">
        <f>SUM(G14:G19)</f>
        <v>11330465</v>
      </c>
      <c r="H20" s="210">
        <f>AVERAGE(H14:H19)</f>
        <v>8304.8333333333339</v>
      </c>
      <c r="I20" s="230">
        <f>SUM(I14:I19)</f>
        <v>19098924</v>
      </c>
      <c r="J20" s="210">
        <f>AVERAGE(J14:J19)</f>
        <v>13213</v>
      </c>
      <c r="K20" s="230">
        <f>SUM(K14:K19)</f>
        <v>36380572</v>
      </c>
      <c r="L20" s="231">
        <f t="shared" si="0"/>
        <v>0.59100122418671841</v>
      </c>
      <c r="M20" s="121">
        <f>AVERAGE(M14:M19)</f>
        <v>13050.833333333334</v>
      </c>
      <c r="N20" s="94">
        <f>SUM(N14:N19)</f>
        <v>32993558</v>
      </c>
      <c r="O20" s="232">
        <f t="shared" si="1"/>
        <v>-1.2273266227704971E-2</v>
      </c>
      <c r="P20" s="121">
        <f>AVERAGE(P14:P19)</f>
        <v>15788</v>
      </c>
      <c r="Q20" s="94">
        <f>SUM(Q14:Q19)</f>
        <v>40534210</v>
      </c>
      <c r="R20" s="234">
        <f t="shared" si="2"/>
        <v>0.2097311793627481</v>
      </c>
      <c r="S20" s="121">
        <f>AVERAGE(S14:S19)</f>
        <v>18147.166666666668</v>
      </c>
      <c r="T20" s="94">
        <f>SUM(T14:T19)</f>
        <v>49707888</v>
      </c>
      <c r="U20" s="234">
        <f t="shared" si="3"/>
        <v>0.14942783548686767</v>
      </c>
      <c r="V20" s="233">
        <f>AVERAGE(V14:V19)</f>
        <v>20298.166666666668</v>
      </c>
      <c r="W20" s="94">
        <f>SUM(W14:W19)</f>
        <v>63392789.539999999</v>
      </c>
      <c r="X20" s="232">
        <f>V20/S20-1</f>
        <v>0.1185309001405177</v>
      </c>
      <c r="Y20" s="233">
        <f>AVERAGE(Y14:Y19)</f>
        <v>14437.333333333334</v>
      </c>
      <c r="Z20" s="94">
        <v>36581716.109999999</v>
      </c>
      <c r="AA20" s="324">
        <f>(Y20/V20)-1</f>
        <v>-0.28873707806123705</v>
      </c>
      <c r="AB20" s="315">
        <v>13095.166666666666</v>
      </c>
      <c r="AC20" s="323">
        <v>32461897.300000001</v>
      </c>
      <c r="AD20" s="384">
        <v>-9.2964998152936906E-2</v>
      </c>
      <c r="AE20" s="340">
        <v>12343</v>
      </c>
      <c r="AF20" s="94">
        <v>28405591.629999999</v>
      </c>
      <c r="AG20" s="344">
        <v>-5.7438495119064292E-2</v>
      </c>
      <c r="AH20" s="406">
        <f>'δικ κατά μήν και κοιν 2017-2018'!F19</f>
        <v>11229.166666666666</v>
      </c>
      <c r="AI20" s="94">
        <v>24548145.41</v>
      </c>
      <c r="AJ20" s="420">
        <f t="shared" si="7"/>
        <v>-9.0240082097815311E-2</v>
      </c>
      <c r="AK20" s="233">
        <f>AVERAGE(AK14:AK19)</f>
        <v>11763.833333333334</v>
      </c>
      <c r="AL20" s="94">
        <f>SUM(AL14:AL19)</f>
        <v>25348549.599999998</v>
      </c>
      <c r="AM20" s="238">
        <f>(AK20/AH20)-1</f>
        <v>4.7614100185528807E-2</v>
      </c>
    </row>
    <row r="21" spans="1:39" ht="46.5" customHeight="1" thickBot="1">
      <c r="A21" s="227" t="s">
        <v>53</v>
      </c>
      <c r="B21" s="210">
        <f>AVERAGE(B13,B20)</f>
        <v>9992.5833333333321</v>
      </c>
      <c r="C21" s="239">
        <f>SUM(C13,C20)</f>
        <v>31920479.350000001</v>
      </c>
      <c r="D21" s="210">
        <f>AVERAGE(D13,D20)</f>
        <v>10141.333333333332</v>
      </c>
      <c r="E21" s="240">
        <f>SUM(E13,E20)</f>
        <v>33553246.43</v>
      </c>
      <c r="F21" s="210">
        <f>AVERAGE(F13,F20)</f>
        <v>9405.8333333333321</v>
      </c>
      <c r="G21" s="239">
        <f>SUM(G13,G20)</f>
        <v>32163012</v>
      </c>
      <c r="H21" s="210">
        <f>AVERAGE(H7:H12,H14:H19)</f>
        <v>8909.4166666666661</v>
      </c>
      <c r="I21" s="241">
        <f>SUM(I13,I20)</f>
        <v>53411625.960000001</v>
      </c>
      <c r="J21" s="210">
        <f>AVERAGE(J7:J12,J14:J19)</f>
        <v>12968.25</v>
      </c>
      <c r="K21" s="242">
        <f>SUM(K13,K20)</f>
        <v>77912833</v>
      </c>
      <c r="L21" s="231">
        <f t="shared" si="0"/>
        <v>0.45556667570828635</v>
      </c>
      <c r="M21" s="121">
        <f>AVERAGE(M7:M12,M14:M19)</f>
        <v>14168.666666666666</v>
      </c>
      <c r="N21" s="94">
        <f>SUM(N13,N20)</f>
        <v>85809196</v>
      </c>
      <c r="O21" s="232">
        <f t="shared" si="1"/>
        <v>9.2565817798597738E-2</v>
      </c>
      <c r="P21" s="121">
        <f>AVERAGE(P7:P12,P14:P19)</f>
        <v>16102.5</v>
      </c>
      <c r="Q21" s="94">
        <f>SUM(Q13,Q20)</f>
        <v>98390894</v>
      </c>
      <c r="R21" s="234">
        <f t="shared" si="2"/>
        <v>0.13648661365454284</v>
      </c>
      <c r="S21" s="121">
        <f>AVERAGE(S7:S12,S14:S19)</f>
        <v>19393.416666666668</v>
      </c>
      <c r="T21" s="94">
        <f>SUM(T13,T20)</f>
        <v>124468628</v>
      </c>
      <c r="U21" s="234">
        <f t="shared" si="3"/>
        <v>0.20437302696268711</v>
      </c>
      <c r="V21" s="243">
        <f>AVERAGE(V7:V12,V14:V19)</f>
        <v>21660.166666666668</v>
      </c>
      <c r="W21" s="94">
        <f>SUM(W13,W20)</f>
        <v>149903328.53999999</v>
      </c>
      <c r="X21" s="234">
        <f>V21/S21-1</f>
        <v>0.11688244722221031</v>
      </c>
      <c r="Y21" s="243">
        <f>AVERAGE(Y7:Y12,Y14:Y19)</f>
        <v>16563.5</v>
      </c>
      <c r="Z21" s="94">
        <v>116613815.73</v>
      </c>
      <c r="AA21" s="322">
        <f>(Y21/V21)-1</f>
        <v>-0.23530135963866083</v>
      </c>
      <c r="AB21" s="313">
        <v>14966.5</v>
      </c>
      <c r="AC21" s="323">
        <v>97278944.120000005</v>
      </c>
      <c r="AD21" s="385">
        <v>-9.6416820116521307E-2</v>
      </c>
      <c r="AE21" s="341">
        <v>13702.75</v>
      </c>
      <c r="AF21" s="94">
        <v>85249189.440000013</v>
      </c>
      <c r="AG21" s="386">
        <v>-8.4438579494203747E-2</v>
      </c>
      <c r="AH21" s="340">
        <f>'δικ κατά μήν και κοιν 2017-2018'!F20</f>
        <v>12981.333333333332</v>
      </c>
      <c r="AI21" s="94">
        <f>AI13+AI20</f>
        <v>79862813.400000006</v>
      </c>
      <c r="AJ21" s="428">
        <f t="shared" si="7"/>
        <v>-5.2647582906107715E-2</v>
      </c>
      <c r="AK21" s="313">
        <f>AVERAGE(AK13,AK20)</f>
        <v>12681.5</v>
      </c>
      <c r="AL21" s="94">
        <f>AL13+AL20</f>
        <v>75692575.959999993</v>
      </c>
      <c r="AM21" s="344">
        <f>(AK21/AH21)-1</f>
        <v>-2.3097267871815874E-2</v>
      </c>
    </row>
    <row r="22" spans="1:39" ht="18" customHeight="1" thickBot="1">
      <c r="A22" s="244" t="s">
        <v>57</v>
      </c>
      <c r="B22" s="245"/>
      <c r="C22" s="245"/>
      <c r="D22" s="245"/>
      <c r="E22" s="245"/>
      <c r="F22" s="245"/>
      <c r="G22" s="246">
        <v>54812341</v>
      </c>
      <c r="H22" s="247"/>
      <c r="I22" s="241">
        <v>54291437</v>
      </c>
      <c r="J22" s="247"/>
      <c r="K22" s="242">
        <v>77869786</v>
      </c>
      <c r="L22" s="248"/>
      <c r="M22" s="249"/>
      <c r="N22" s="94">
        <v>85809195</v>
      </c>
      <c r="O22" s="250"/>
      <c r="P22" s="121"/>
      <c r="Q22" s="94">
        <v>98390894</v>
      </c>
      <c r="R22" s="234"/>
      <c r="S22" s="121"/>
      <c r="T22" s="94">
        <v>124468629</v>
      </c>
      <c r="U22" s="234"/>
      <c r="V22" s="243"/>
      <c r="W22" s="94">
        <v>150239188</v>
      </c>
      <c r="X22" s="234"/>
      <c r="Y22" s="243"/>
      <c r="Z22" s="94">
        <v>117040680</v>
      </c>
      <c r="AA22" s="234"/>
      <c r="AB22" s="313"/>
      <c r="AC22" s="323">
        <v>97619229</v>
      </c>
      <c r="AD22" s="339"/>
      <c r="AE22" s="313"/>
      <c r="AF22" s="323">
        <v>85901796.439999998</v>
      </c>
      <c r="AG22" s="176"/>
      <c r="AH22" s="340"/>
      <c r="AI22" s="323">
        <v>81444713.709999993</v>
      </c>
      <c r="AJ22" s="403"/>
      <c r="AK22" s="313"/>
      <c r="AL22" s="323">
        <f>571126+75692576</f>
        <v>76263702</v>
      </c>
      <c r="AM22" s="176"/>
    </row>
    <row r="23" spans="1:39" ht="10.5" customHeight="1">
      <c r="A23" s="48"/>
      <c r="B23" s="49"/>
      <c r="C23" s="49"/>
      <c r="D23" s="49"/>
      <c r="E23" s="49"/>
      <c r="F23" s="49"/>
      <c r="G23" s="49"/>
      <c r="H23" s="45"/>
      <c r="I23" s="50"/>
      <c r="J23" s="45"/>
      <c r="K23" s="46"/>
      <c r="L23" s="40"/>
      <c r="M23" s="40"/>
      <c r="N23" s="47"/>
      <c r="O23" s="11"/>
      <c r="P23" s="11"/>
      <c r="Q23" s="51"/>
    </row>
    <row r="24" spans="1:39">
      <c r="A24" s="499" t="s">
        <v>55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</row>
    <row r="25" spans="1:39" ht="12" customHeight="1">
      <c r="A25" s="496" t="s">
        <v>56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</row>
    <row r="26" spans="1:39" ht="12.75" customHeight="1">
      <c r="A26" s="497" t="s">
        <v>54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</row>
    <row r="27" spans="1:39" ht="28.5" customHeight="1">
      <c r="A27" s="498" t="s">
        <v>119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5"/>
      <c r="AC27" s="495"/>
      <c r="AD27" s="495"/>
      <c r="AE27" s="329"/>
      <c r="AF27" s="329"/>
      <c r="AG27" s="329"/>
      <c r="AI27" s="177"/>
    </row>
    <row r="28" spans="1:39">
      <c r="A28" s="31"/>
      <c r="B28" s="30"/>
      <c r="C28" s="30"/>
      <c r="D28" s="30"/>
      <c r="E28" s="30"/>
      <c r="F28" s="469"/>
      <c r="G28" s="469"/>
      <c r="H28" s="36"/>
      <c r="N28" s="33"/>
      <c r="O28" s="33"/>
      <c r="P28" s="33"/>
      <c r="AI28" s="177"/>
    </row>
    <row r="29" spans="1:39">
      <c r="A29" s="34" t="s">
        <v>146</v>
      </c>
      <c r="B29" s="34"/>
      <c r="C29" s="34"/>
      <c r="D29" s="34"/>
      <c r="E29" s="34"/>
      <c r="F29" s="33"/>
      <c r="G29" s="33"/>
      <c r="H29" s="35"/>
      <c r="I29" s="30"/>
      <c r="J29" s="31"/>
      <c r="K29" s="33"/>
      <c r="L29" s="33"/>
      <c r="M29" s="33"/>
      <c r="N29" s="33"/>
      <c r="O29" s="42"/>
      <c r="P29" s="33"/>
      <c r="Q29" s="30"/>
      <c r="R29" s="30"/>
      <c r="S29" s="30"/>
      <c r="T29" s="30"/>
      <c r="U29" s="33"/>
      <c r="V29" s="167"/>
      <c r="W29" s="30"/>
      <c r="X29" s="30"/>
      <c r="Y29" s="30"/>
      <c r="Z29" s="33"/>
      <c r="AA29" s="30"/>
      <c r="AE29" s="30"/>
      <c r="AF29" s="30"/>
      <c r="AG29" s="30"/>
      <c r="AH29" s="317"/>
      <c r="AI29" s="174" t="s">
        <v>12</v>
      </c>
      <c r="AJ29" s="30"/>
    </row>
    <row r="30" spans="1:39">
      <c r="A30" s="31">
        <f>'δικ κατά μήν και κοιν 2017-2018'!A26</f>
        <v>43521</v>
      </c>
      <c r="B30" s="30"/>
      <c r="C30" s="30"/>
      <c r="D30" s="30"/>
      <c r="E30" s="30"/>
      <c r="F30" s="469"/>
      <c r="G30" s="469"/>
      <c r="H30" s="36"/>
      <c r="I30" s="30"/>
      <c r="J30" s="30"/>
      <c r="K30" s="30"/>
      <c r="L30" s="30"/>
      <c r="M30" s="30"/>
      <c r="N30" s="33"/>
      <c r="O30" s="33"/>
      <c r="P30" s="33"/>
      <c r="Q30" s="30"/>
      <c r="R30" s="30"/>
      <c r="S30" s="30"/>
      <c r="T30" s="30"/>
      <c r="U30" s="33"/>
      <c r="V30" s="167"/>
      <c r="W30" s="30"/>
      <c r="X30" s="30"/>
      <c r="Y30" s="30"/>
      <c r="Z30" s="33"/>
      <c r="AA30" s="30"/>
      <c r="AE30" s="30"/>
      <c r="AF30" s="30"/>
      <c r="AG30" s="30"/>
      <c r="AH30" s="317"/>
      <c r="AI30" s="174" t="s">
        <v>11</v>
      </c>
      <c r="AJ30" s="30"/>
    </row>
    <row r="31" spans="1:39">
      <c r="A31" s="31"/>
      <c r="B31" s="30"/>
      <c r="C31" s="30"/>
      <c r="D31" s="30"/>
      <c r="E31" s="30"/>
      <c r="F31" s="469"/>
      <c r="G31" s="469"/>
      <c r="H31" s="36"/>
      <c r="I31" s="30"/>
      <c r="J31" s="30"/>
      <c r="K31" s="30"/>
      <c r="L31" s="30"/>
      <c r="M31" s="30"/>
      <c r="N31" s="33"/>
      <c r="O31" s="33"/>
      <c r="P31" s="33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7"/>
      <c r="AC31" s="30"/>
      <c r="AD31" s="30"/>
      <c r="AE31" s="30"/>
      <c r="AF31" s="30"/>
      <c r="AG31" s="30"/>
      <c r="AI31" s="177"/>
    </row>
    <row r="35" spans="1:1">
      <c r="A35" s="20"/>
    </row>
    <row r="38" spans="1:1" ht="8.25" customHeight="1"/>
    <row r="39" spans="1:1" hidden="1"/>
    <row r="40" spans="1:1" hidden="1"/>
    <row r="41" spans="1:1" hidden="1"/>
    <row r="42" spans="1:1" hidden="1"/>
    <row r="43" spans="1:1" hidden="1"/>
    <row r="44" spans="1:1" hidden="1"/>
    <row r="45" spans="1:1" hidden="1"/>
    <row r="46" spans="1:1" hidden="1"/>
    <row r="47" spans="1:1" hidden="1"/>
    <row r="48" spans="1: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51">
    <mergeCell ref="AM4:AM6"/>
    <mergeCell ref="AL5:AL6"/>
    <mergeCell ref="A24:AA24"/>
    <mergeCell ref="AA4:AA6"/>
    <mergeCell ref="B4:C4"/>
    <mergeCell ref="D4:E4"/>
    <mergeCell ref="P4:Q4"/>
    <mergeCell ref="T5:T6"/>
    <mergeCell ref="R4:R6"/>
    <mergeCell ref="H4:I4"/>
    <mergeCell ref="V4:W4"/>
    <mergeCell ref="X4:X6"/>
    <mergeCell ref="W5:W6"/>
    <mergeCell ref="N5:N6"/>
    <mergeCell ref="A4:A6"/>
    <mergeCell ref="O4:O6"/>
    <mergeCell ref="A2:AM2"/>
    <mergeCell ref="F31:G31"/>
    <mergeCell ref="Q5:Q6"/>
    <mergeCell ref="F28:G28"/>
    <mergeCell ref="F30:G30"/>
    <mergeCell ref="A25:AA25"/>
    <mergeCell ref="A26:AA26"/>
    <mergeCell ref="Z5:Z6"/>
    <mergeCell ref="I5:I6"/>
    <mergeCell ref="L4:L6"/>
    <mergeCell ref="S4:T4"/>
    <mergeCell ref="K5:K6"/>
    <mergeCell ref="F4:G4"/>
    <mergeCell ref="A27:AD27"/>
    <mergeCell ref="AK5:AK6"/>
    <mergeCell ref="J4:K4"/>
    <mergeCell ref="M4:N4"/>
    <mergeCell ref="S5:S6"/>
    <mergeCell ref="AI5:AI6"/>
    <mergeCell ref="AE5:AE6"/>
    <mergeCell ref="AH5:AH6"/>
    <mergeCell ref="Y4:Z4"/>
    <mergeCell ref="U4:U6"/>
    <mergeCell ref="AB4:AC4"/>
    <mergeCell ref="AD4:AD6"/>
    <mergeCell ref="AC5:AC6"/>
    <mergeCell ref="V5:V6"/>
    <mergeCell ref="Y5:Y6"/>
    <mergeCell ref="AB5:AB6"/>
    <mergeCell ref="AK4:AL4"/>
    <mergeCell ref="AF5:AF6"/>
    <mergeCell ref="AE4:AF4"/>
    <mergeCell ref="AG4:AG6"/>
    <mergeCell ref="AH4:AI4"/>
    <mergeCell ref="AJ4:AJ6"/>
  </mergeCells>
  <phoneticPr fontId="0" type="noConversion"/>
  <pageMargins left="0" right="0.25" top="0.75" bottom="0.75" header="0.3" footer="0.3"/>
  <pageSetup paperSize="9" scale="59" orientation="landscape" r:id="rId1"/>
  <headerFooter alignWithMargins="0"/>
  <colBreaks count="1" manualBreakCount="1">
    <brk id="39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opLeftCell="A7" workbookViewId="0">
      <selection activeCell="H15" sqref="H15"/>
    </sheetView>
  </sheetViews>
  <sheetFormatPr defaultRowHeight="12.75"/>
  <cols>
    <col min="1" max="1" width="5.5703125" customWidth="1"/>
    <col min="2" max="2" width="58" customWidth="1"/>
    <col min="3" max="7" width="12.7109375" customWidth="1"/>
    <col min="8" max="8" width="11" customWidth="1"/>
    <col min="10" max="10" width="10.5703125" bestFit="1" customWidth="1"/>
  </cols>
  <sheetData>
    <row r="1" spans="1:8" ht="19.5" customHeight="1">
      <c r="A1" s="122" t="s">
        <v>104</v>
      </c>
      <c r="B1" s="95"/>
    </row>
    <row r="2" spans="1:8" ht="28.5" customHeight="1">
      <c r="A2" s="503" t="s">
        <v>122</v>
      </c>
      <c r="B2" s="503"/>
      <c r="C2" s="503"/>
      <c r="D2" s="503"/>
      <c r="E2" s="503"/>
      <c r="F2" s="503"/>
      <c r="G2" s="503"/>
      <c r="H2" s="503"/>
    </row>
    <row r="3" spans="1:8" ht="6" customHeight="1" thickBot="1">
      <c r="A3" s="502"/>
      <c r="B3" s="502"/>
      <c r="C3" s="502"/>
    </row>
    <row r="4" spans="1:8" ht="15.75" customHeight="1">
      <c r="A4" s="255"/>
      <c r="B4" s="256"/>
      <c r="C4" s="505" t="s">
        <v>60</v>
      </c>
      <c r="D4" s="505"/>
      <c r="E4" s="505"/>
      <c r="F4" s="505"/>
      <c r="G4" s="505"/>
      <c r="H4" s="506"/>
    </row>
    <row r="5" spans="1:8" ht="17.25" customHeight="1">
      <c r="A5" s="257" t="s">
        <v>61</v>
      </c>
      <c r="B5" s="258" t="s">
        <v>62</v>
      </c>
      <c r="C5" s="508" t="s">
        <v>63</v>
      </c>
      <c r="D5" s="508"/>
      <c r="E5" s="509" t="s">
        <v>64</v>
      </c>
      <c r="F5" s="509"/>
      <c r="G5" s="510" t="s">
        <v>6</v>
      </c>
      <c r="H5" s="504" t="s">
        <v>113</v>
      </c>
    </row>
    <row r="6" spans="1:8" ht="24">
      <c r="A6" s="204"/>
      <c r="B6" s="205"/>
      <c r="C6" s="259" t="s">
        <v>65</v>
      </c>
      <c r="D6" s="260" t="s">
        <v>66</v>
      </c>
      <c r="E6" s="260" t="s">
        <v>66</v>
      </c>
      <c r="F6" s="260" t="s">
        <v>67</v>
      </c>
      <c r="G6" s="510"/>
      <c r="H6" s="504"/>
    </row>
    <row r="7" spans="1:8" ht="15" customHeight="1">
      <c r="A7" s="261">
        <v>1</v>
      </c>
      <c r="B7" s="262" t="s">
        <v>68</v>
      </c>
      <c r="C7" s="251">
        <v>0</v>
      </c>
      <c r="D7" s="63">
        <v>0</v>
      </c>
      <c r="E7" s="64">
        <v>1</v>
      </c>
      <c r="F7" s="64">
        <f>81+1</f>
        <v>82</v>
      </c>
      <c r="G7" s="63">
        <f>C7+D7+E7+F7</f>
        <v>83</v>
      </c>
      <c r="H7" s="124">
        <f>G7/G30</f>
        <v>3.2004318655047426E-3</v>
      </c>
    </row>
    <row r="8" spans="1:8" ht="15" customHeight="1">
      <c r="A8" s="261">
        <v>2</v>
      </c>
      <c r="B8" s="262" t="s">
        <v>69</v>
      </c>
      <c r="C8" s="251">
        <v>0</v>
      </c>
      <c r="D8" s="63">
        <v>0</v>
      </c>
      <c r="E8" s="64">
        <v>0</v>
      </c>
      <c r="F8" s="64">
        <v>12</v>
      </c>
      <c r="G8" s="63">
        <f t="shared" ref="G8:G29" si="0">C8+D8+E8+F8</f>
        <v>12</v>
      </c>
      <c r="H8" s="124">
        <f>G8/G30</f>
        <v>4.6271304079586643E-4</v>
      </c>
    </row>
    <row r="9" spans="1:8" ht="15" customHeight="1">
      <c r="A9" s="261">
        <v>3</v>
      </c>
      <c r="B9" s="262" t="s">
        <v>70</v>
      </c>
      <c r="C9" s="251">
        <v>38</v>
      </c>
      <c r="D9" s="63">
        <v>0</v>
      </c>
      <c r="E9" s="64">
        <v>4</v>
      </c>
      <c r="F9" s="64">
        <f>965+2</f>
        <v>967</v>
      </c>
      <c r="G9" s="63">
        <f t="shared" si="0"/>
        <v>1009</v>
      </c>
      <c r="H9" s="124">
        <f>G9/G30</f>
        <v>3.8906454846919104E-2</v>
      </c>
    </row>
    <row r="10" spans="1:8" ht="25.5">
      <c r="A10" s="261">
        <v>4</v>
      </c>
      <c r="B10" s="262" t="s">
        <v>71</v>
      </c>
      <c r="C10" s="252">
        <v>0</v>
      </c>
      <c r="D10" s="66">
        <v>0</v>
      </c>
      <c r="E10" s="67">
        <v>0</v>
      </c>
      <c r="F10" s="59">
        <v>5</v>
      </c>
      <c r="G10" s="63">
        <f t="shared" si="0"/>
        <v>5</v>
      </c>
      <c r="H10" s="124">
        <f>G10/G30</f>
        <v>1.9279710033161102E-4</v>
      </c>
    </row>
    <row r="11" spans="1:8" ht="26.25" customHeight="1">
      <c r="A11" s="261">
        <v>5</v>
      </c>
      <c r="B11" s="262" t="s">
        <v>72</v>
      </c>
      <c r="C11" s="251">
        <v>0</v>
      </c>
      <c r="D11" s="63">
        <v>0</v>
      </c>
      <c r="E11" s="64">
        <v>0</v>
      </c>
      <c r="F11" s="64">
        <v>6</v>
      </c>
      <c r="G11" s="63">
        <f t="shared" si="0"/>
        <v>6</v>
      </c>
      <c r="H11" s="124">
        <f>G11/G30</f>
        <v>2.3135652039793321E-4</v>
      </c>
    </row>
    <row r="12" spans="1:8" ht="15.75" customHeight="1">
      <c r="A12" s="261">
        <v>6</v>
      </c>
      <c r="B12" s="262" t="s">
        <v>73</v>
      </c>
      <c r="C12" s="252">
        <v>0</v>
      </c>
      <c r="D12" s="58">
        <v>0</v>
      </c>
      <c r="E12" s="59">
        <v>12</v>
      </c>
      <c r="F12" s="59">
        <v>666</v>
      </c>
      <c r="G12" s="63">
        <f t="shared" si="0"/>
        <v>678</v>
      </c>
      <c r="H12" s="124">
        <f>G12/G30</f>
        <v>2.6143286804966453E-2</v>
      </c>
    </row>
    <row r="13" spans="1:8" ht="27.75" customHeight="1">
      <c r="A13" s="261">
        <v>7</v>
      </c>
      <c r="B13" s="262" t="s">
        <v>74</v>
      </c>
      <c r="C13" s="252">
        <v>0</v>
      </c>
      <c r="D13" s="58">
        <v>232</v>
      </c>
      <c r="E13" s="59">
        <v>55</v>
      </c>
      <c r="F13" s="59">
        <f>3068+2</f>
        <v>3070</v>
      </c>
      <c r="G13" s="63">
        <f t="shared" si="0"/>
        <v>3357</v>
      </c>
      <c r="H13" s="124">
        <f>G13/G30</f>
        <v>0.12944397316264364</v>
      </c>
    </row>
    <row r="14" spans="1:8" ht="15" customHeight="1">
      <c r="A14" s="261">
        <v>8</v>
      </c>
      <c r="B14" s="262" t="s">
        <v>75</v>
      </c>
      <c r="C14" s="252">
        <v>0</v>
      </c>
      <c r="D14" s="58">
        <v>24</v>
      </c>
      <c r="E14" s="58">
        <v>15</v>
      </c>
      <c r="F14" s="59">
        <v>983</v>
      </c>
      <c r="G14" s="63">
        <f t="shared" si="0"/>
        <v>1022</v>
      </c>
      <c r="H14" s="124">
        <f>G14/G30</f>
        <v>3.940772730778129E-2</v>
      </c>
    </row>
    <row r="15" spans="1:8" ht="25.5">
      <c r="A15" s="261">
        <v>9</v>
      </c>
      <c r="B15" s="262" t="s">
        <v>76</v>
      </c>
      <c r="C15" s="251">
        <v>0</v>
      </c>
      <c r="D15" s="63">
        <v>3603</v>
      </c>
      <c r="E15" s="64">
        <v>5999</v>
      </c>
      <c r="F15" s="64">
        <f>3239+5</f>
        <v>3244</v>
      </c>
      <c r="G15" s="63">
        <f t="shared" si="0"/>
        <v>12846</v>
      </c>
      <c r="H15" s="124">
        <f>G15/G30</f>
        <v>0.49533431017197499</v>
      </c>
    </row>
    <row r="16" spans="1:8" ht="15" customHeight="1">
      <c r="A16" s="261">
        <v>10</v>
      </c>
      <c r="B16" s="262" t="s">
        <v>77</v>
      </c>
      <c r="C16" s="251">
        <v>0</v>
      </c>
      <c r="D16" s="63">
        <v>0</v>
      </c>
      <c r="E16" s="64">
        <v>2</v>
      </c>
      <c r="F16" s="64">
        <v>301</v>
      </c>
      <c r="G16" s="63">
        <f t="shared" si="0"/>
        <v>303</v>
      </c>
      <c r="H16" s="124">
        <f>G16/G30</f>
        <v>1.1683504280095628E-2</v>
      </c>
    </row>
    <row r="17" spans="1:10" ht="15" customHeight="1">
      <c r="A17" s="261">
        <v>11</v>
      </c>
      <c r="B17" s="262" t="s">
        <v>78</v>
      </c>
      <c r="C17" s="251">
        <v>0</v>
      </c>
      <c r="D17" s="63">
        <v>0</v>
      </c>
      <c r="E17" s="64">
        <v>1</v>
      </c>
      <c r="F17" s="59">
        <f>454+1</f>
        <v>455</v>
      </c>
      <c r="G17" s="63">
        <f t="shared" si="0"/>
        <v>456</v>
      </c>
      <c r="H17" s="124">
        <f>G17/G30</f>
        <v>1.7583095550242924E-2</v>
      </c>
    </row>
    <row r="18" spans="1:10" ht="15" customHeight="1">
      <c r="A18" s="261">
        <v>12</v>
      </c>
      <c r="B18" s="262" t="s">
        <v>79</v>
      </c>
      <c r="C18" s="251">
        <v>0</v>
      </c>
      <c r="D18" s="63">
        <v>0</v>
      </c>
      <c r="E18" s="64">
        <v>6</v>
      </c>
      <c r="F18" s="64">
        <f>162+1</f>
        <v>163</v>
      </c>
      <c r="G18" s="63">
        <f t="shared" si="0"/>
        <v>169</v>
      </c>
      <c r="H18" s="124">
        <f>G18/G30</f>
        <v>6.5165419912084519E-3</v>
      </c>
      <c r="J18" s="177"/>
    </row>
    <row r="19" spans="1:10" ht="15" customHeight="1">
      <c r="A19" s="261">
        <v>13</v>
      </c>
      <c r="B19" s="262" t="s">
        <v>80</v>
      </c>
      <c r="C19" s="251">
        <v>0</v>
      </c>
      <c r="D19" s="63">
        <v>0</v>
      </c>
      <c r="E19" s="64">
        <v>1</v>
      </c>
      <c r="F19" s="64">
        <v>727</v>
      </c>
      <c r="G19" s="63">
        <f t="shared" si="0"/>
        <v>728</v>
      </c>
      <c r="H19" s="124">
        <f>G19/G30</f>
        <v>2.8071257808282565E-2</v>
      </c>
    </row>
    <row r="20" spans="1:10" ht="15" customHeight="1">
      <c r="A20" s="261">
        <v>14</v>
      </c>
      <c r="B20" s="262" t="s">
        <v>81</v>
      </c>
      <c r="C20" s="251">
        <v>0</v>
      </c>
      <c r="D20" s="63">
        <v>52</v>
      </c>
      <c r="E20" s="64">
        <v>26</v>
      </c>
      <c r="F20" s="64">
        <f>715+1</f>
        <v>716</v>
      </c>
      <c r="G20" s="63">
        <f t="shared" si="0"/>
        <v>794</v>
      </c>
      <c r="H20" s="124">
        <f>G20/G30</f>
        <v>3.061617953265983E-2</v>
      </c>
    </row>
    <row r="21" spans="1:10" ht="15" customHeight="1">
      <c r="A21" s="263">
        <v>15</v>
      </c>
      <c r="B21" s="262" t="s">
        <v>82</v>
      </c>
      <c r="C21" s="251">
        <v>0</v>
      </c>
      <c r="D21" s="63">
        <v>14</v>
      </c>
      <c r="E21" s="64">
        <v>5</v>
      </c>
      <c r="F21" s="64">
        <v>1911</v>
      </c>
      <c r="G21" s="63">
        <f t="shared" si="0"/>
        <v>1930</v>
      </c>
      <c r="H21" s="124">
        <f>G21/G30</f>
        <v>7.4419680728001855E-2</v>
      </c>
    </row>
    <row r="22" spans="1:10" ht="15" customHeight="1">
      <c r="A22" s="261">
        <v>16</v>
      </c>
      <c r="B22" s="262" t="s">
        <v>83</v>
      </c>
      <c r="C22" s="251">
        <v>0</v>
      </c>
      <c r="D22" s="63">
        <v>13</v>
      </c>
      <c r="E22" s="64">
        <v>1</v>
      </c>
      <c r="F22" s="64">
        <f>333+1</f>
        <v>334</v>
      </c>
      <c r="G22" s="63">
        <f t="shared" si="0"/>
        <v>348</v>
      </c>
      <c r="H22" s="124">
        <f>G22/G30</f>
        <v>1.3418678183080127E-2</v>
      </c>
    </row>
    <row r="23" spans="1:10" ht="15" customHeight="1">
      <c r="A23" s="263">
        <v>17</v>
      </c>
      <c r="B23" s="262" t="s">
        <v>84</v>
      </c>
      <c r="C23" s="251">
        <v>0</v>
      </c>
      <c r="D23" s="63">
        <v>0</v>
      </c>
      <c r="E23" s="64">
        <v>1</v>
      </c>
      <c r="F23" s="64">
        <v>270</v>
      </c>
      <c r="G23" s="63">
        <f t="shared" si="0"/>
        <v>271</v>
      </c>
      <c r="H23" s="124">
        <f>G23/G30</f>
        <v>1.0449602837973316E-2</v>
      </c>
    </row>
    <row r="24" spans="1:10" ht="15" customHeight="1">
      <c r="A24" s="261">
        <v>18</v>
      </c>
      <c r="B24" s="264" t="s">
        <v>85</v>
      </c>
      <c r="C24" s="251">
        <v>0</v>
      </c>
      <c r="D24" s="63">
        <v>40</v>
      </c>
      <c r="E24" s="64">
        <v>12</v>
      </c>
      <c r="F24" s="64">
        <v>388</v>
      </c>
      <c r="G24" s="63">
        <f t="shared" si="0"/>
        <v>440</v>
      </c>
      <c r="H24" s="124">
        <f>G24/G30</f>
        <v>1.6966144829181771E-2</v>
      </c>
    </row>
    <row r="25" spans="1:10" ht="15" customHeight="1">
      <c r="A25" s="261">
        <v>19</v>
      </c>
      <c r="B25" s="264" t="s">
        <v>86</v>
      </c>
      <c r="C25" s="251">
        <v>0</v>
      </c>
      <c r="D25" s="63">
        <v>17</v>
      </c>
      <c r="E25" s="64">
        <v>31</v>
      </c>
      <c r="F25" s="64">
        <v>418</v>
      </c>
      <c r="G25" s="63">
        <f t="shared" si="0"/>
        <v>466</v>
      </c>
      <c r="H25" s="124">
        <f>G25/G30</f>
        <v>1.7968689750906146E-2</v>
      </c>
    </row>
    <row r="26" spans="1:10" ht="36.75" customHeight="1">
      <c r="A26" s="263">
        <v>20</v>
      </c>
      <c r="B26" s="264" t="s">
        <v>87</v>
      </c>
      <c r="C26" s="251">
        <v>0</v>
      </c>
      <c r="D26" s="63">
        <v>0</v>
      </c>
      <c r="E26" s="64">
        <v>0</v>
      </c>
      <c r="F26" s="64">
        <v>27</v>
      </c>
      <c r="G26" s="63">
        <f t="shared" si="0"/>
        <v>27</v>
      </c>
      <c r="H26" s="124">
        <f>G26/G30</f>
        <v>1.0411043417906994E-3</v>
      </c>
    </row>
    <row r="27" spans="1:10" ht="15" customHeight="1">
      <c r="A27" s="261">
        <v>21</v>
      </c>
      <c r="B27" s="264" t="s">
        <v>88</v>
      </c>
      <c r="C27" s="251">
        <v>0</v>
      </c>
      <c r="D27" s="63">
        <v>0</v>
      </c>
      <c r="E27" s="64">
        <v>0</v>
      </c>
      <c r="F27" s="64">
        <v>15</v>
      </c>
      <c r="G27" s="63">
        <f t="shared" si="0"/>
        <v>15</v>
      </c>
      <c r="H27" s="124">
        <f>G27/G30</f>
        <v>5.7839130099483305E-4</v>
      </c>
    </row>
    <row r="28" spans="1:10" ht="15" customHeight="1">
      <c r="A28" s="261">
        <v>22</v>
      </c>
      <c r="B28" s="265" t="s">
        <v>89</v>
      </c>
      <c r="C28" s="251">
        <v>0</v>
      </c>
      <c r="D28" s="63">
        <v>14</v>
      </c>
      <c r="E28" s="64">
        <v>17</v>
      </c>
      <c r="F28" s="64">
        <f>913+25</f>
        <v>938</v>
      </c>
      <c r="G28" s="63">
        <f t="shared" si="0"/>
        <v>969</v>
      </c>
      <c r="H28" s="124">
        <f>G28/G30</f>
        <v>3.7364078044266218E-2</v>
      </c>
    </row>
    <row r="29" spans="1:10" ht="15" customHeight="1">
      <c r="A29" s="261">
        <v>23</v>
      </c>
      <c r="B29" s="265" t="s">
        <v>90</v>
      </c>
      <c r="C29" s="251">
        <v>0</v>
      </c>
      <c r="D29" s="63">
        <v>0</v>
      </c>
      <c r="E29" s="64">
        <v>0</v>
      </c>
      <c r="F29" s="64">
        <v>0</v>
      </c>
      <c r="G29" s="63">
        <f t="shared" si="0"/>
        <v>0</v>
      </c>
      <c r="H29" s="124">
        <f>G29/G30</f>
        <v>0</v>
      </c>
    </row>
    <row r="30" spans="1:10" ht="15" customHeight="1" thickBot="1">
      <c r="A30" s="266"/>
      <c r="B30" s="267" t="s">
        <v>6</v>
      </c>
      <c r="C30" s="253">
        <f>SUM(C7:C29)</f>
        <v>38</v>
      </c>
      <c r="D30" s="253">
        <f>SUM(D7:D29)</f>
        <v>4009</v>
      </c>
      <c r="E30" s="253">
        <f>SUM(E7:E29)</f>
        <v>6189</v>
      </c>
      <c r="F30" s="253">
        <f>SUM(F7:F29)</f>
        <v>15698</v>
      </c>
      <c r="G30" s="253">
        <f>SUM(G7:G29)</f>
        <v>25934</v>
      </c>
      <c r="H30" s="254">
        <f>G30/G30</f>
        <v>1</v>
      </c>
    </row>
    <row r="31" spans="1:10">
      <c r="A31" s="74"/>
      <c r="B31" s="75"/>
      <c r="C31" s="76"/>
      <c r="D31" s="76"/>
      <c r="E31" s="76"/>
      <c r="F31" s="76"/>
      <c r="G31" s="76"/>
    </row>
    <row r="32" spans="1:10">
      <c r="A32" s="30" t="s">
        <v>123</v>
      </c>
      <c r="B32" s="30"/>
      <c r="C32" s="30"/>
      <c r="D32" s="30"/>
      <c r="E32" s="30"/>
      <c r="F32" s="30"/>
      <c r="G32" s="77" t="s">
        <v>12</v>
      </c>
      <c r="H32" s="30"/>
    </row>
    <row r="33" spans="1:8">
      <c r="A33" s="507">
        <v>43181</v>
      </c>
      <c r="B33" s="507"/>
      <c r="C33" s="30"/>
      <c r="D33" s="30"/>
      <c r="E33" s="30"/>
      <c r="F33" s="30"/>
      <c r="G33" s="77" t="s">
        <v>91</v>
      </c>
      <c r="H33" s="30"/>
    </row>
  </sheetData>
  <mergeCells count="8">
    <mergeCell ref="A3:C3"/>
    <mergeCell ref="A2:H2"/>
    <mergeCell ref="H5:H6"/>
    <mergeCell ref="C4:H4"/>
    <mergeCell ref="A33:B33"/>
    <mergeCell ref="C5:D5"/>
    <mergeCell ref="E5:F5"/>
    <mergeCell ref="G5:G6"/>
  </mergeCells>
  <pageMargins left="0.31496062992125984" right="0.31496062992125984" top="0.35433070866141736" bottom="0.35433070866141736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L18" sqref="L18"/>
    </sheetView>
  </sheetViews>
  <sheetFormatPr defaultRowHeight="12.75"/>
  <cols>
    <col min="1" max="1" width="5.5703125" customWidth="1"/>
    <col min="2" max="2" width="61.28515625" customWidth="1"/>
    <col min="3" max="3" width="12.42578125" customWidth="1"/>
    <col min="4" max="4" width="11.7109375" customWidth="1"/>
    <col min="5" max="5" width="12" customWidth="1"/>
    <col min="6" max="6" width="11.42578125" customWidth="1"/>
    <col min="7" max="7" width="12.7109375" customWidth="1"/>
    <col min="8" max="8" width="10.42578125" customWidth="1"/>
    <col min="12" max="12" width="10.5703125" bestFit="1" customWidth="1"/>
  </cols>
  <sheetData>
    <row r="1" spans="1:8">
      <c r="A1" s="122" t="s">
        <v>105</v>
      </c>
    </row>
    <row r="2" spans="1:8" ht="27" customHeight="1">
      <c r="A2" s="503" t="s">
        <v>124</v>
      </c>
      <c r="B2" s="503"/>
      <c r="C2" s="503"/>
      <c r="D2" s="503"/>
      <c r="E2" s="503"/>
      <c r="F2" s="503"/>
      <c r="G2" s="503"/>
      <c r="H2" s="503"/>
    </row>
    <row r="3" spans="1:8" ht="9" customHeight="1" thickBot="1">
      <c r="A3" s="502"/>
      <c r="B3" s="502"/>
      <c r="C3" s="502"/>
    </row>
    <row r="4" spans="1:8" ht="15" customHeight="1">
      <c r="A4" s="255"/>
      <c r="B4" s="256"/>
      <c r="C4" s="505" t="s">
        <v>60</v>
      </c>
      <c r="D4" s="505"/>
      <c r="E4" s="505"/>
      <c r="F4" s="505"/>
      <c r="G4" s="505"/>
      <c r="H4" s="511" t="s">
        <v>93</v>
      </c>
    </row>
    <row r="5" spans="1:8" ht="15" customHeight="1">
      <c r="A5" s="257" t="s">
        <v>61</v>
      </c>
      <c r="B5" s="258" t="s">
        <v>62</v>
      </c>
      <c r="C5" s="508" t="s">
        <v>63</v>
      </c>
      <c r="D5" s="508"/>
      <c r="E5" s="509" t="s">
        <v>64</v>
      </c>
      <c r="F5" s="509"/>
      <c r="G5" s="510" t="s">
        <v>6</v>
      </c>
      <c r="H5" s="512"/>
    </row>
    <row r="6" spans="1:8" ht="22.5" customHeight="1">
      <c r="A6" s="204"/>
      <c r="B6" s="205"/>
      <c r="C6" s="259" t="s">
        <v>65</v>
      </c>
      <c r="D6" s="260" t="s">
        <v>66</v>
      </c>
      <c r="E6" s="260" t="s">
        <v>66</v>
      </c>
      <c r="F6" s="260" t="s">
        <v>67</v>
      </c>
      <c r="G6" s="510"/>
      <c r="H6" s="512"/>
    </row>
    <row r="7" spans="1:8" ht="15" customHeight="1">
      <c r="A7" s="261">
        <v>1</v>
      </c>
      <c r="B7" s="262" t="s">
        <v>68</v>
      </c>
      <c r="C7" s="251">
        <v>0</v>
      </c>
      <c r="D7" s="251">
        <v>0</v>
      </c>
      <c r="E7" s="64">
        <v>0</v>
      </c>
      <c r="F7" s="64">
        <f>79+1</f>
        <v>80</v>
      </c>
      <c r="G7" s="63">
        <f>C7+D7+E7+F7</f>
        <v>80</v>
      </c>
      <c r="H7" s="83">
        <f>G7/G30</f>
        <v>3.3805197549123178E-3</v>
      </c>
    </row>
    <row r="8" spans="1:8" ht="15" customHeight="1">
      <c r="A8" s="261">
        <v>2</v>
      </c>
      <c r="B8" s="262" t="s">
        <v>69</v>
      </c>
      <c r="C8" s="251">
        <v>0</v>
      </c>
      <c r="D8" s="252">
        <v>0</v>
      </c>
      <c r="E8" s="64">
        <v>0</v>
      </c>
      <c r="F8" s="270">
        <v>15</v>
      </c>
      <c r="G8" s="63">
        <f t="shared" ref="G8:G29" si="0">C8+D8+E8+F8</f>
        <v>15</v>
      </c>
      <c r="H8" s="83">
        <f>G8/G30</f>
        <v>6.3384745404605953E-4</v>
      </c>
    </row>
    <row r="9" spans="1:8" ht="15" customHeight="1">
      <c r="A9" s="261">
        <v>3</v>
      </c>
      <c r="B9" s="262" t="s">
        <v>70</v>
      </c>
      <c r="C9" s="251">
        <v>33</v>
      </c>
      <c r="D9" s="251">
        <v>0</v>
      </c>
      <c r="E9" s="64">
        <v>2</v>
      </c>
      <c r="F9" s="270">
        <v>895</v>
      </c>
      <c r="G9" s="63">
        <f t="shared" si="0"/>
        <v>930</v>
      </c>
      <c r="H9" s="83">
        <f>G9/G30</f>
        <v>3.9298542150855695E-2</v>
      </c>
    </row>
    <row r="10" spans="1:8" ht="15.75" customHeight="1">
      <c r="A10" s="261">
        <v>4</v>
      </c>
      <c r="B10" s="262" t="s">
        <v>71</v>
      </c>
      <c r="C10" s="252">
        <v>0</v>
      </c>
      <c r="D10" s="252">
        <v>0</v>
      </c>
      <c r="E10" s="67">
        <v>0</v>
      </c>
      <c r="F10" s="59">
        <v>4</v>
      </c>
      <c r="G10" s="63">
        <f t="shared" si="0"/>
        <v>4</v>
      </c>
      <c r="H10" s="83">
        <f>G10/G30</f>
        <v>1.6902598774561588E-4</v>
      </c>
    </row>
    <row r="11" spans="1:8" ht="24.75" customHeight="1">
      <c r="A11" s="261">
        <v>5</v>
      </c>
      <c r="B11" s="262" t="s">
        <v>72</v>
      </c>
      <c r="C11" s="251">
        <v>0</v>
      </c>
      <c r="D11" s="252">
        <v>0</v>
      </c>
      <c r="E11" s="64">
        <v>0</v>
      </c>
      <c r="F11" s="64">
        <v>6</v>
      </c>
      <c r="G11" s="63">
        <f t="shared" si="0"/>
        <v>6</v>
      </c>
      <c r="H11" s="83">
        <f>G11/G30</f>
        <v>2.5353898161842384E-4</v>
      </c>
    </row>
    <row r="12" spans="1:8" ht="15" customHeight="1">
      <c r="A12" s="261">
        <v>6</v>
      </c>
      <c r="B12" s="268" t="s">
        <v>73</v>
      </c>
      <c r="C12" s="252">
        <v>0</v>
      </c>
      <c r="D12" s="252">
        <v>0</v>
      </c>
      <c r="E12" s="67">
        <v>12</v>
      </c>
      <c r="F12" s="302">
        <v>649</v>
      </c>
      <c r="G12" s="66">
        <f t="shared" si="0"/>
        <v>661</v>
      </c>
      <c r="H12" s="84">
        <f>G12/G30</f>
        <v>2.7931544474963026E-2</v>
      </c>
    </row>
    <row r="13" spans="1:8" ht="25.5" customHeight="1">
      <c r="A13" s="261">
        <v>7</v>
      </c>
      <c r="B13" s="268" t="s">
        <v>74</v>
      </c>
      <c r="C13" s="252">
        <v>0</v>
      </c>
      <c r="D13" s="252">
        <v>219</v>
      </c>
      <c r="E13" s="67">
        <v>54</v>
      </c>
      <c r="F13" s="302">
        <f>2916+2</f>
        <v>2918</v>
      </c>
      <c r="G13" s="66">
        <f t="shared" si="0"/>
        <v>3191</v>
      </c>
      <c r="H13" s="84">
        <f>G13/G30</f>
        <v>0.13484048172406507</v>
      </c>
    </row>
    <row r="14" spans="1:8" ht="15" customHeight="1">
      <c r="A14" s="261">
        <v>8</v>
      </c>
      <c r="B14" s="262" t="s">
        <v>75</v>
      </c>
      <c r="C14" s="252">
        <v>0</v>
      </c>
      <c r="D14" s="251">
        <v>22</v>
      </c>
      <c r="E14" s="58">
        <v>13</v>
      </c>
      <c r="F14" s="303">
        <v>942</v>
      </c>
      <c r="G14" s="63">
        <f t="shared" si="0"/>
        <v>977</v>
      </c>
      <c r="H14" s="83">
        <f>G14/G30</f>
        <v>4.128459750686668E-2</v>
      </c>
    </row>
    <row r="15" spans="1:8" ht="24.75" customHeight="1">
      <c r="A15" s="261">
        <v>9</v>
      </c>
      <c r="B15" s="268" t="s">
        <v>76</v>
      </c>
      <c r="C15" s="252">
        <v>0</v>
      </c>
      <c r="D15" s="251">
        <v>3453</v>
      </c>
      <c r="E15" s="67">
        <v>5629</v>
      </c>
      <c r="F15" s="302">
        <f>3113+10</f>
        <v>3123</v>
      </c>
      <c r="G15" s="66">
        <f t="shared" si="0"/>
        <v>12205</v>
      </c>
      <c r="H15" s="84">
        <f>G15/G30</f>
        <v>0.51574054510881051</v>
      </c>
    </row>
    <row r="16" spans="1:8" ht="15" customHeight="1">
      <c r="A16" s="261">
        <v>10</v>
      </c>
      <c r="B16" s="262" t="s">
        <v>77</v>
      </c>
      <c r="C16" s="251">
        <v>0</v>
      </c>
      <c r="D16" s="251">
        <v>0</v>
      </c>
      <c r="E16" s="64">
        <v>2</v>
      </c>
      <c r="F16" s="64">
        <v>288</v>
      </c>
      <c r="G16" s="63">
        <f t="shared" si="0"/>
        <v>290</v>
      </c>
      <c r="H16" s="83">
        <f>G16/G30</f>
        <v>1.2254384111557153E-2</v>
      </c>
    </row>
    <row r="17" spans="1:12" ht="15" customHeight="1">
      <c r="A17" s="261">
        <v>11</v>
      </c>
      <c r="B17" s="262" t="s">
        <v>78</v>
      </c>
      <c r="C17" s="251">
        <v>0</v>
      </c>
      <c r="D17" s="251">
        <v>0</v>
      </c>
      <c r="E17" s="64">
        <v>1</v>
      </c>
      <c r="F17" s="303">
        <v>466</v>
      </c>
      <c r="G17" s="63">
        <f t="shared" si="0"/>
        <v>467</v>
      </c>
      <c r="H17" s="83">
        <f>G17/G30</f>
        <v>1.9733784069300656E-2</v>
      </c>
    </row>
    <row r="18" spans="1:12" ht="15" customHeight="1">
      <c r="A18" s="261">
        <v>12</v>
      </c>
      <c r="B18" s="262" t="s">
        <v>79</v>
      </c>
      <c r="C18" s="251">
        <v>0</v>
      </c>
      <c r="D18" s="251">
        <v>0</v>
      </c>
      <c r="E18" s="64">
        <v>7</v>
      </c>
      <c r="F18" s="64">
        <v>165</v>
      </c>
      <c r="G18" s="63">
        <f t="shared" si="0"/>
        <v>172</v>
      </c>
      <c r="H18" s="83">
        <f>G18/G30</f>
        <v>7.2681174730614834E-3</v>
      </c>
    </row>
    <row r="19" spans="1:12" ht="15" customHeight="1">
      <c r="A19" s="261">
        <v>13</v>
      </c>
      <c r="B19" s="262" t="s">
        <v>80</v>
      </c>
      <c r="C19" s="251">
        <v>0</v>
      </c>
      <c r="D19" s="251">
        <v>0</v>
      </c>
      <c r="E19" s="64">
        <v>0</v>
      </c>
      <c r="F19" s="64">
        <v>720</v>
      </c>
      <c r="G19" s="63">
        <f t="shared" si="0"/>
        <v>720</v>
      </c>
      <c r="H19" s="83">
        <f>G19/G30</f>
        <v>3.0424677794210861E-2</v>
      </c>
    </row>
    <row r="20" spans="1:12" ht="15" customHeight="1">
      <c r="A20" s="261">
        <v>14</v>
      </c>
      <c r="B20" s="262" t="s">
        <v>81</v>
      </c>
      <c r="C20" s="251">
        <v>0</v>
      </c>
      <c r="D20" s="251">
        <v>51</v>
      </c>
      <c r="E20" s="64">
        <v>24</v>
      </c>
      <c r="F20" s="270">
        <f>683+1</f>
        <v>684</v>
      </c>
      <c r="G20" s="63">
        <f t="shared" si="0"/>
        <v>759</v>
      </c>
      <c r="H20" s="83">
        <f>G20/G30</f>
        <v>3.2072681174730618E-2</v>
      </c>
    </row>
    <row r="21" spans="1:12" ht="15" customHeight="1">
      <c r="A21" s="263">
        <v>15</v>
      </c>
      <c r="B21" s="262" t="s">
        <v>82</v>
      </c>
      <c r="C21" s="251">
        <v>0</v>
      </c>
      <c r="D21" s="251">
        <v>14</v>
      </c>
      <c r="E21" s="64">
        <v>3</v>
      </c>
      <c r="F21" s="270">
        <v>741</v>
      </c>
      <c r="G21" s="63">
        <f t="shared" si="0"/>
        <v>758</v>
      </c>
      <c r="H21" s="83">
        <f>G21/G30</f>
        <v>3.2030424677794211E-2</v>
      </c>
      <c r="L21" s="177"/>
    </row>
    <row r="22" spans="1:12" ht="15" customHeight="1">
      <c r="A22" s="261">
        <v>16</v>
      </c>
      <c r="B22" s="262" t="s">
        <v>83</v>
      </c>
      <c r="C22" s="251">
        <v>0</v>
      </c>
      <c r="D22" s="251">
        <v>13</v>
      </c>
      <c r="E22" s="64">
        <v>1</v>
      </c>
      <c r="F22" s="64">
        <f>283+1</f>
        <v>284</v>
      </c>
      <c r="G22" s="63">
        <f t="shared" si="0"/>
        <v>298</v>
      </c>
      <c r="H22" s="83">
        <f>G22/G30</f>
        <v>1.2592436087048384E-2</v>
      </c>
    </row>
    <row r="23" spans="1:12" ht="24" customHeight="1">
      <c r="A23" s="263">
        <v>17</v>
      </c>
      <c r="B23" s="262" t="s">
        <v>84</v>
      </c>
      <c r="C23" s="251">
        <v>0</v>
      </c>
      <c r="D23" s="251">
        <v>0</v>
      </c>
      <c r="E23" s="64">
        <v>1</v>
      </c>
      <c r="F23" s="64">
        <v>254</v>
      </c>
      <c r="G23" s="63">
        <f t="shared" si="0"/>
        <v>255</v>
      </c>
      <c r="H23" s="83">
        <f>G23/G30</f>
        <v>1.0775406718783014E-2</v>
      </c>
    </row>
    <row r="24" spans="1:12" ht="15" customHeight="1">
      <c r="A24" s="261">
        <v>18</v>
      </c>
      <c r="B24" s="264" t="s">
        <v>85</v>
      </c>
      <c r="C24" s="251">
        <v>0</v>
      </c>
      <c r="D24" s="251">
        <v>44</v>
      </c>
      <c r="E24" s="64">
        <v>12</v>
      </c>
      <c r="F24" s="270">
        <v>377</v>
      </c>
      <c r="G24" s="63">
        <f t="shared" si="0"/>
        <v>433</v>
      </c>
      <c r="H24" s="83">
        <f>G24/G30</f>
        <v>1.829706317346292E-2</v>
      </c>
    </row>
    <row r="25" spans="1:12" ht="15" customHeight="1">
      <c r="A25" s="261">
        <v>19</v>
      </c>
      <c r="B25" s="264" t="s">
        <v>86</v>
      </c>
      <c r="C25" s="251">
        <v>0</v>
      </c>
      <c r="D25" s="251">
        <v>14</v>
      </c>
      <c r="E25" s="64">
        <v>31</v>
      </c>
      <c r="F25" s="64">
        <f>408+1</f>
        <v>409</v>
      </c>
      <c r="G25" s="63">
        <f t="shared" si="0"/>
        <v>454</v>
      </c>
      <c r="H25" s="83">
        <f>G25/G30</f>
        <v>1.9184449609127404E-2</v>
      </c>
    </row>
    <row r="26" spans="1:12" ht="39" customHeight="1">
      <c r="A26" s="263">
        <v>20</v>
      </c>
      <c r="B26" s="264" t="s">
        <v>87</v>
      </c>
      <c r="C26" s="251">
        <v>0</v>
      </c>
      <c r="D26" s="251">
        <v>0</v>
      </c>
      <c r="E26" s="64">
        <v>0</v>
      </c>
      <c r="F26" s="270">
        <v>27</v>
      </c>
      <c r="G26" s="63">
        <f t="shared" si="0"/>
        <v>27</v>
      </c>
      <c r="H26" s="83">
        <f>G26/G30</f>
        <v>1.1409254172829073E-3</v>
      </c>
    </row>
    <row r="27" spans="1:12" ht="15" customHeight="1">
      <c r="A27" s="261">
        <v>21</v>
      </c>
      <c r="B27" s="264" t="s">
        <v>88</v>
      </c>
      <c r="C27" s="251">
        <v>0</v>
      </c>
      <c r="D27" s="251">
        <v>0</v>
      </c>
      <c r="E27" s="64">
        <v>0</v>
      </c>
      <c r="F27" s="64">
        <v>16</v>
      </c>
      <c r="G27" s="63">
        <f t="shared" si="0"/>
        <v>16</v>
      </c>
      <c r="H27" s="83">
        <f>G27/G30</f>
        <v>6.7610395098246351E-4</v>
      </c>
    </row>
    <row r="28" spans="1:12" ht="15" customHeight="1">
      <c r="A28" s="261">
        <v>22</v>
      </c>
      <c r="B28" s="265" t="s">
        <v>89</v>
      </c>
      <c r="C28" s="251">
        <v>0</v>
      </c>
      <c r="D28" s="251">
        <v>19</v>
      </c>
      <c r="E28" s="64">
        <v>20</v>
      </c>
      <c r="F28" s="270">
        <f>885+23</f>
        <v>908</v>
      </c>
      <c r="G28" s="63">
        <f t="shared" si="0"/>
        <v>947</v>
      </c>
      <c r="H28" s="83">
        <f>G28/G30</f>
        <v>4.0016902598774565E-2</v>
      </c>
    </row>
    <row r="29" spans="1:12" ht="15" customHeight="1">
      <c r="A29" s="261">
        <v>23</v>
      </c>
      <c r="B29" s="265" t="s">
        <v>90</v>
      </c>
      <c r="C29" s="251">
        <v>0</v>
      </c>
      <c r="D29" s="251">
        <v>0</v>
      </c>
      <c r="E29" s="64">
        <v>0</v>
      </c>
      <c r="F29" s="64">
        <v>0</v>
      </c>
      <c r="G29" s="63">
        <f t="shared" si="0"/>
        <v>0</v>
      </c>
      <c r="H29" s="83">
        <f>G29/G30</f>
        <v>0</v>
      </c>
    </row>
    <row r="30" spans="1:12" ht="15" customHeight="1" thickBot="1">
      <c r="A30" s="266"/>
      <c r="B30" s="267" t="s">
        <v>6</v>
      </c>
      <c r="C30" s="253">
        <f t="shared" ref="C30:H30" si="1">SUM(C7:C29)</f>
        <v>33</v>
      </c>
      <c r="D30" s="253">
        <f t="shared" si="1"/>
        <v>3849</v>
      </c>
      <c r="E30" s="253">
        <f t="shared" si="1"/>
        <v>5812</v>
      </c>
      <c r="F30" s="253">
        <f t="shared" si="1"/>
        <v>13971</v>
      </c>
      <c r="G30" s="253">
        <f t="shared" si="1"/>
        <v>23665</v>
      </c>
      <c r="H30" s="269">
        <f t="shared" si="1"/>
        <v>0.99999999999999989</v>
      </c>
    </row>
    <row r="31" spans="1:12">
      <c r="A31" s="74"/>
      <c r="B31" s="75"/>
      <c r="C31" s="76"/>
      <c r="D31" s="76"/>
      <c r="E31" s="76"/>
      <c r="F31" s="76"/>
      <c r="G31" s="76"/>
    </row>
    <row r="32" spans="1:12">
      <c r="A32" s="30" t="s">
        <v>123</v>
      </c>
      <c r="B32" s="30"/>
      <c r="C32" s="30"/>
      <c r="D32" s="30"/>
      <c r="E32" s="30"/>
      <c r="F32" s="77" t="s">
        <v>12</v>
      </c>
      <c r="G32" s="30"/>
    </row>
    <row r="33" spans="1:7">
      <c r="A33" s="507">
        <v>43229</v>
      </c>
      <c r="B33" s="507"/>
      <c r="C33" s="30"/>
      <c r="D33" s="30"/>
      <c r="E33" s="30"/>
      <c r="F33" s="77" t="s">
        <v>91</v>
      </c>
      <c r="G33" s="30"/>
    </row>
    <row r="37" spans="1:7">
      <c r="D37" s="177"/>
    </row>
  </sheetData>
  <mergeCells count="8">
    <mergeCell ref="A33:B33"/>
    <mergeCell ref="H4:H6"/>
    <mergeCell ref="A2:H2"/>
    <mergeCell ref="A3:C3"/>
    <mergeCell ref="C4:G4"/>
    <mergeCell ref="C5:D5"/>
    <mergeCell ref="E5:F5"/>
    <mergeCell ref="G5:G6"/>
  </mergeCells>
  <pageMargins left="0.31496062992125984" right="0.19685039370078741" top="0.35433070866141736" bottom="0.35433070866141736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opLeftCell="A6" workbookViewId="0">
      <selection activeCell="C7" sqref="C7:H30"/>
    </sheetView>
  </sheetViews>
  <sheetFormatPr defaultRowHeight="12.75"/>
  <cols>
    <col min="1" max="1" width="4.85546875" customWidth="1"/>
    <col min="2" max="2" width="47.140625" customWidth="1"/>
    <col min="3" max="8" width="12.7109375" customWidth="1"/>
    <col min="10" max="10" width="14.5703125" bestFit="1" customWidth="1"/>
  </cols>
  <sheetData>
    <row r="1" spans="1:10">
      <c r="A1" s="122" t="s">
        <v>106</v>
      </c>
    </row>
    <row r="2" spans="1:10" ht="28.5" customHeight="1">
      <c r="A2" s="503" t="s">
        <v>125</v>
      </c>
      <c r="B2" s="503"/>
      <c r="C2" s="503"/>
      <c r="D2" s="503"/>
      <c r="E2" s="503"/>
      <c r="F2" s="503"/>
      <c r="G2" s="503"/>
      <c r="H2" s="503"/>
    </row>
    <row r="3" spans="1:10" ht="7.5" customHeight="1" thickBot="1">
      <c r="A3" s="502"/>
      <c r="B3" s="502"/>
      <c r="C3" s="502"/>
    </row>
    <row r="4" spans="1:10" ht="15" customHeight="1">
      <c r="A4" s="255"/>
      <c r="B4" s="256"/>
      <c r="C4" s="505" t="s">
        <v>60</v>
      </c>
      <c r="D4" s="505"/>
      <c r="E4" s="505"/>
      <c r="F4" s="505"/>
      <c r="G4" s="505"/>
      <c r="H4" s="511" t="s">
        <v>93</v>
      </c>
    </row>
    <row r="5" spans="1:10" ht="15" customHeight="1">
      <c r="A5" s="257" t="s">
        <v>61</v>
      </c>
      <c r="B5" s="258" t="s">
        <v>62</v>
      </c>
      <c r="C5" s="508" t="s">
        <v>63</v>
      </c>
      <c r="D5" s="508"/>
      <c r="E5" s="509" t="s">
        <v>64</v>
      </c>
      <c r="F5" s="509"/>
      <c r="G5" s="510" t="s">
        <v>6</v>
      </c>
      <c r="H5" s="512"/>
    </row>
    <row r="6" spans="1:10" ht="25.5" customHeight="1">
      <c r="A6" s="204"/>
      <c r="B6" s="205"/>
      <c r="C6" s="260" t="s">
        <v>65</v>
      </c>
      <c r="D6" s="260" t="s">
        <v>66</v>
      </c>
      <c r="E6" s="260" t="s">
        <v>66</v>
      </c>
      <c r="F6" s="260" t="s">
        <v>67</v>
      </c>
      <c r="G6" s="510"/>
      <c r="H6" s="512"/>
    </row>
    <row r="7" spans="1:10" ht="15" customHeight="1">
      <c r="A7" s="261">
        <v>1</v>
      </c>
      <c r="B7" s="262" t="s">
        <v>68</v>
      </c>
      <c r="C7" s="251">
        <v>0</v>
      </c>
      <c r="D7" s="251">
        <v>0</v>
      </c>
      <c r="E7" s="64">
        <v>0</v>
      </c>
      <c r="F7" s="64">
        <v>63</v>
      </c>
      <c r="G7" s="63">
        <f>C7+D7+E7+F7</f>
        <v>63</v>
      </c>
      <c r="H7" s="83">
        <f>G7/G30</f>
        <v>2.9771749917300696E-3</v>
      </c>
      <c r="J7" s="334"/>
    </row>
    <row r="8" spans="1:10" ht="15" customHeight="1">
      <c r="A8" s="261">
        <v>2</v>
      </c>
      <c r="B8" s="262" t="s">
        <v>69</v>
      </c>
      <c r="C8" s="251">
        <v>0</v>
      </c>
      <c r="D8" s="251">
        <v>0</v>
      </c>
      <c r="E8" s="64">
        <v>0</v>
      </c>
      <c r="F8" s="64">
        <v>16</v>
      </c>
      <c r="G8" s="63">
        <f t="shared" ref="G8:G29" si="0">C8+D8+E8+F8</f>
        <v>16</v>
      </c>
      <c r="H8" s="83">
        <f>G8/G30</f>
        <v>7.5610793440763666E-4</v>
      </c>
    </row>
    <row r="9" spans="1:10" ht="15" customHeight="1">
      <c r="A9" s="261">
        <v>3</v>
      </c>
      <c r="B9" s="262" t="s">
        <v>70</v>
      </c>
      <c r="C9" s="251">
        <v>21</v>
      </c>
      <c r="D9" s="63">
        <v>0</v>
      </c>
      <c r="E9" s="64">
        <v>2</v>
      </c>
      <c r="F9" s="64">
        <v>868</v>
      </c>
      <c r="G9" s="63">
        <f t="shared" si="0"/>
        <v>891</v>
      </c>
      <c r="H9" s="83">
        <f>G9/G30</f>
        <v>4.2105760597325272E-2</v>
      </c>
    </row>
    <row r="10" spans="1:10" ht="14.25" customHeight="1">
      <c r="A10" s="261">
        <v>4</v>
      </c>
      <c r="B10" s="262" t="s">
        <v>71</v>
      </c>
      <c r="C10" s="252">
        <v>0</v>
      </c>
      <c r="D10" s="252">
        <v>0</v>
      </c>
      <c r="E10" s="67">
        <v>0</v>
      </c>
      <c r="F10" s="59">
        <v>7</v>
      </c>
      <c r="G10" s="63">
        <f t="shared" si="0"/>
        <v>7</v>
      </c>
      <c r="H10" s="83">
        <f>G10/G30</f>
        <v>3.3079722130334107E-4</v>
      </c>
    </row>
    <row r="11" spans="1:10" ht="27.75" customHeight="1">
      <c r="A11" s="261">
        <v>5</v>
      </c>
      <c r="B11" s="262" t="s">
        <v>72</v>
      </c>
      <c r="C11" s="251">
        <v>0</v>
      </c>
      <c r="D11" s="251">
        <v>0</v>
      </c>
      <c r="E11" s="64">
        <v>0</v>
      </c>
      <c r="F11" s="64">
        <v>5</v>
      </c>
      <c r="G11" s="63">
        <f t="shared" si="0"/>
        <v>5</v>
      </c>
      <c r="H11" s="83">
        <f>G11/G30</f>
        <v>2.3628372950238648E-4</v>
      </c>
    </row>
    <row r="12" spans="1:10" ht="15" customHeight="1">
      <c r="A12" s="261">
        <v>6</v>
      </c>
      <c r="B12" s="378" t="s">
        <v>73</v>
      </c>
      <c r="C12" s="252">
        <v>0</v>
      </c>
      <c r="D12" s="376">
        <v>0</v>
      </c>
      <c r="E12" s="59">
        <v>10</v>
      </c>
      <c r="F12" s="59">
        <v>625</v>
      </c>
      <c r="G12" s="58">
        <f t="shared" si="0"/>
        <v>635</v>
      </c>
      <c r="H12" s="377">
        <f>G12/G30</f>
        <v>3.000803364680308E-2</v>
      </c>
    </row>
    <row r="13" spans="1:10" ht="27.75" customHeight="1">
      <c r="A13" s="261">
        <v>7</v>
      </c>
      <c r="B13" s="378" t="s">
        <v>74</v>
      </c>
      <c r="C13" s="252">
        <v>0</v>
      </c>
      <c r="D13" s="376">
        <v>199</v>
      </c>
      <c r="E13" s="59">
        <v>50</v>
      </c>
      <c r="F13" s="59">
        <f>2827+2</f>
        <v>2829</v>
      </c>
      <c r="G13" s="58">
        <f t="shared" si="0"/>
        <v>3078</v>
      </c>
      <c r="H13" s="377">
        <f>G13/G30</f>
        <v>0.1454562638816691</v>
      </c>
    </row>
    <row r="14" spans="1:10" ht="15" customHeight="1">
      <c r="A14" s="261">
        <v>8</v>
      </c>
      <c r="B14" s="378" t="s">
        <v>75</v>
      </c>
      <c r="C14" s="252">
        <v>0</v>
      </c>
      <c r="D14" s="376">
        <v>22</v>
      </c>
      <c r="E14" s="58">
        <v>12</v>
      </c>
      <c r="F14" s="59">
        <v>856</v>
      </c>
      <c r="G14" s="58">
        <f t="shared" si="0"/>
        <v>890</v>
      </c>
      <c r="H14" s="377">
        <f>G14/G30</f>
        <v>4.2058503851424789E-2</v>
      </c>
    </row>
    <row r="15" spans="1:10" ht="25.5" customHeight="1">
      <c r="A15" s="261">
        <v>9</v>
      </c>
      <c r="B15" s="378" t="s">
        <v>76</v>
      </c>
      <c r="C15" s="252">
        <v>0</v>
      </c>
      <c r="D15" s="376">
        <v>2347</v>
      </c>
      <c r="E15" s="59">
        <v>4934</v>
      </c>
      <c r="F15" s="59">
        <f>2844+6</f>
        <v>2850</v>
      </c>
      <c r="G15" s="58">
        <f t="shared" si="0"/>
        <v>10131</v>
      </c>
      <c r="H15" s="377">
        <f>G15/G30</f>
        <v>0.47875809271773545</v>
      </c>
    </row>
    <row r="16" spans="1:10" ht="15" customHeight="1">
      <c r="A16" s="261">
        <v>10</v>
      </c>
      <c r="B16" s="262" t="s">
        <v>77</v>
      </c>
      <c r="C16" s="251">
        <v>0</v>
      </c>
      <c r="D16" s="251">
        <v>0</v>
      </c>
      <c r="E16" s="64">
        <v>2</v>
      </c>
      <c r="F16" s="64">
        <v>279</v>
      </c>
      <c r="G16" s="63">
        <f t="shared" si="0"/>
        <v>281</v>
      </c>
      <c r="H16" s="83">
        <f>G16/G30</f>
        <v>1.327914559803412E-2</v>
      </c>
    </row>
    <row r="17" spans="1:8" ht="15" customHeight="1">
      <c r="A17" s="261">
        <v>11</v>
      </c>
      <c r="B17" s="262" t="s">
        <v>78</v>
      </c>
      <c r="C17" s="251">
        <v>0</v>
      </c>
      <c r="D17" s="251">
        <v>0</v>
      </c>
      <c r="E17" s="64">
        <v>0</v>
      </c>
      <c r="F17" s="59">
        <v>517</v>
      </c>
      <c r="G17" s="63">
        <f t="shared" si="0"/>
        <v>517</v>
      </c>
      <c r="H17" s="83">
        <f>G17/G30</f>
        <v>2.4431737630546759E-2</v>
      </c>
    </row>
    <row r="18" spans="1:8" ht="15" customHeight="1">
      <c r="A18" s="261">
        <v>12</v>
      </c>
      <c r="B18" s="262" t="s">
        <v>79</v>
      </c>
      <c r="C18" s="251">
        <v>0</v>
      </c>
      <c r="D18" s="251">
        <v>0</v>
      </c>
      <c r="E18" s="64">
        <v>6</v>
      </c>
      <c r="F18" s="64">
        <v>147</v>
      </c>
      <c r="G18" s="63">
        <f t="shared" si="0"/>
        <v>153</v>
      </c>
      <c r="H18" s="83">
        <f>G18/G30</f>
        <v>7.2302821227730255E-3</v>
      </c>
    </row>
    <row r="19" spans="1:8" ht="15" customHeight="1">
      <c r="A19" s="261">
        <v>13</v>
      </c>
      <c r="B19" s="262" t="s">
        <v>80</v>
      </c>
      <c r="C19" s="251">
        <v>0</v>
      </c>
      <c r="D19" s="251">
        <v>0</v>
      </c>
      <c r="E19" s="64">
        <v>0</v>
      </c>
      <c r="F19" s="64">
        <v>715</v>
      </c>
      <c r="G19" s="63">
        <f t="shared" si="0"/>
        <v>715</v>
      </c>
      <c r="H19" s="83">
        <f>G19/G30</f>
        <v>3.3788573318841261E-2</v>
      </c>
    </row>
    <row r="20" spans="1:8" ht="15" customHeight="1">
      <c r="A20" s="261">
        <v>14</v>
      </c>
      <c r="B20" s="262" t="s">
        <v>81</v>
      </c>
      <c r="C20" s="251">
        <v>0</v>
      </c>
      <c r="D20" s="251">
        <v>49</v>
      </c>
      <c r="E20" s="64">
        <v>17</v>
      </c>
      <c r="F20" s="64">
        <v>649</v>
      </c>
      <c r="G20" s="63">
        <f t="shared" si="0"/>
        <v>715</v>
      </c>
      <c r="H20" s="83">
        <f>G20/G30</f>
        <v>3.3788573318841261E-2</v>
      </c>
    </row>
    <row r="21" spans="1:8" ht="15" customHeight="1">
      <c r="A21" s="263">
        <v>15</v>
      </c>
      <c r="B21" s="262" t="s">
        <v>82</v>
      </c>
      <c r="C21" s="251">
        <v>0</v>
      </c>
      <c r="D21" s="251">
        <v>14</v>
      </c>
      <c r="E21" s="64">
        <v>3</v>
      </c>
      <c r="F21" s="64">
        <v>716</v>
      </c>
      <c r="G21" s="63">
        <f t="shared" si="0"/>
        <v>733</v>
      </c>
      <c r="H21" s="83">
        <f>G21/G30</f>
        <v>3.4639194745049853E-2</v>
      </c>
    </row>
    <row r="22" spans="1:8" ht="15" customHeight="1">
      <c r="A22" s="261">
        <v>16</v>
      </c>
      <c r="B22" s="262" t="s">
        <v>83</v>
      </c>
      <c r="C22" s="251">
        <v>0</v>
      </c>
      <c r="D22" s="251">
        <v>12</v>
      </c>
      <c r="E22" s="64">
        <v>1</v>
      </c>
      <c r="F22" s="64">
        <f>269+1</f>
        <v>270</v>
      </c>
      <c r="G22" s="63">
        <f t="shared" si="0"/>
        <v>283</v>
      </c>
      <c r="H22" s="83">
        <f>G22/G30</f>
        <v>1.3373659089835075E-2</v>
      </c>
    </row>
    <row r="23" spans="1:8" ht="24.75" customHeight="1">
      <c r="A23" s="263">
        <v>17</v>
      </c>
      <c r="B23" s="262" t="s">
        <v>84</v>
      </c>
      <c r="C23" s="251">
        <v>0</v>
      </c>
      <c r="D23" s="251">
        <v>0</v>
      </c>
      <c r="E23" s="64">
        <v>1</v>
      </c>
      <c r="F23" s="64">
        <v>256</v>
      </c>
      <c r="G23" s="63">
        <f t="shared" si="0"/>
        <v>257</v>
      </c>
      <c r="H23" s="83">
        <f>G23/G30</f>
        <v>1.2144983696422664E-2</v>
      </c>
    </row>
    <row r="24" spans="1:8" ht="15.75" customHeight="1">
      <c r="A24" s="261">
        <v>18</v>
      </c>
      <c r="B24" s="264" t="s">
        <v>85</v>
      </c>
      <c r="C24" s="251">
        <v>0</v>
      </c>
      <c r="D24" s="251">
        <v>45</v>
      </c>
      <c r="E24" s="64">
        <v>11</v>
      </c>
      <c r="F24" s="64">
        <v>358</v>
      </c>
      <c r="G24" s="63">
        <f t="shared" si="0"/>
        <v>414</v>
      </c>
      <c r="H24" s="83">
        <f>G24/G30</f>
        <v>1.95642928027976E-2</v>
      </c>
    </row>
    <row r="25" spans="1:8" ht="13.5" customHeight="1">
      <c r="A25" s="261">
        <v>19</v>
      </c>
      <c r="B25" s="264" t="s">
        <v>86</v>
      </c>
      <c r="C25" s="251">
        <v>0</v>
      </c>
      <c r="D25" s="251">
        <v>12</v>
      </c>
      <c r="E25" s="64">
        <v>22</v>
      </c>
      <c r="F25" s="64">
        <f>384+1</f>
        <v>385</v>
      </c>
      <c r="G25" s="63">
        <f t="shared" si="0"/>
        <v>419</v>
      </c>
      <c r="H25" s="83">
        <f>G25/G30</f>
        <v>1.9800576532299986E-2</v>
      </c>
    </row>
    <row r="26" spans="1:8" ht="36.75" customHeight="1">
      <c r="A26" s="263">
        <v>20</v>
      </c>
      <c r="B26" s="264" t="s">
        <v>87</v>
      </c>
      <c r="C26" s="251">
        <v>0</v>
      </c>
      <c r="D26" s="251">
        <v>0</v>
      </c>
      <c r="E26" s="64">
        <v>0</v>
      </c>
      <c r="F26" s="64">
        <v>24</v>
      </c>
      <c r="G26" s="63">
        <f t="shared" si="0"/>
        <v>24</v>
      </c>
      <c r="H26" s="83">
        <f>G26/G30</f>
        <v>1.134161901611455E-3</v>
      </c>
    </row>
    <row r="27" spans="1:8" ht="15.75" customHeight="1">
      <c r="A27" s="261">
        <v>21</v>
      </c>
      <c r="B27" s="264" t="s">
        <v>88</v>
      </c>
      <c r="C27" s="251">
        <v>0</v>
      </c>
      <c r="D27" s="251">
        <v>0</v>
      </c>
      <c r="E27" s="64">
        <v>0</v>
      </c>
      <c r="F27" s="64">
        <v>16</v>
      </c>
      <c r="G27" s="63">
        <f t="shared" si="0"/>
        <v>16</v>
      </c>
      <c r="H27" s="83">
        <f>G27/G30</f>
        <v>7.5610793440763666E-4</v>
      </c>
    </row>
    <row r="28" spans="1:8" ht="15.75" customHeight="1">
      <c r="A28" s="261">
        <v>22</v>
      </c>
      <c r="B28" s="265" t="s">
        <v>89</v>
      </c>
      <c r="C28" s="251">
        <v>0</v>
      </c>
      <c r="D28" s="251">
        <v>11</v>
      </c>
      <c r="E28" s="64">
        <v>18</v>
      </c>
      <c r="F28" s="64">
        <f>870+19</f>
        <v>889</v>
      </c>
      <c r="G28" s="63">
        <f t="shared" si="0"/>
        <v>918</v>
      </c>
      <c r="H28" s="83">
        <f>G28/G30</f>
        <v>4.3381692736638153E-2</v>
      </c>
    </row>
    <row r="29" spans="1:8" ht="15.75" customHeight="1">
      <c r="A29" s="261">
        <v>23</v>
      </c>
      <c r="B29" s="265" t="s">
        <v>90</v>
      </c>
      <c r="C29" s="251"/>
      <c r="D29" s="251">
        <v>0</v>
      </c>
      <c r="E29" s="64">
        <v>0</v>
      </c>
      <c r="F29" s="64">
        <v>0</v>
      </c>
      <c r="G29" s="63">
        <f t="shared" si="0"/>
        <v>0</v>
      </c>
      <c r="H29" s="83">
        <f>G29/G30</f>
        <v>0</v>
      </c>
    </row>
    <row r="30" spans="1:8" ht="12.75" customHeight="1" thickBot="1">
      <c r="A30" s="266"/>
      <c r="B30" s="267" t="s">
        <v>6</v>
      </c>
      <c r="C30" s="253">
        <f t="shared" ref="C30:H30" si="1">SUM(C7:C29)</f>
        <v>21</v>
      </c>
      <c r="D30" s="253">
        <f>SUM(D7:D29)</f>
        <v>2711</v>
      </c>
      <c r="E30" s="253">
        <f t="shared" si="1"/>
        <v>5089</v>
      </c>
      <c r="F30" s="253">
        <f t="shared" si="1"/>
        <v>13340</v>
      </c>
      <c r="G30" s="253">
        <f t="shared" si="1"/>
        <v>21161</v>
      </c>
      <c r="H30" s="269">
        <f t="shared" si="1"/>
        <v>0.99999999999999978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0" t="s">
        <v>123</v>
      </c>
      <c r="B32" s="30"/>
      <c r="C32" s="30"/>
      <c r="D32" s="30"/>
      <c r="E32" s="30"/>
      <c r="F32" s="77" t="s">
        <v>12</v>
      </c>
      <c r="G32" s="30"/>
    </row>
    <row r="33" spans="1:7">
      <c r="A33" s="513">
        <v>43257</v>
      </c>
      <c r="B33" s="513"/>
      <c r="C33" s="30"/>
      <c r="D33" s="30"/>
      <c r="E33" s="30"/>
      <c r="F33" s="77" t="s">
        <v>91</v>
      </c>
      <c r="G33" s="30"/>
    </row>
    <row r="38" spans="1:7">
      <c r="D38" s="177"/>
    </row>
  </sheetData>
  <mergeCells count="8">
    <mergeCell ref="A33:B33"/>
    <mergeCell ref="A2:H2"/>
    <mergeCell ref="A3:C3"/>
    <mergeCell ref="C4:G4"/>
    <mergeCell ref="H4:H6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κατά επαρχία και φύλο το 2018</vt:lpstr>
      <vt:lpstr>κατά επαρχία,  μήνα 2017,2018</vt:lpstr>
      <vt:lpstr>κατά φύλο, μήνα 2017,2018</vt:lpstr>
      <vt:lpstr>άνεργοι κατά μήνα 2007-2018</vt:lpstr>
      <vt:lpstr>δικ κατά μήν και κοιν 2017-2018</vt:lpstr>
      <vt:lpstr>δικ, ποσό πληρ. κατά μήνα 11-18</vt:lpstr>
      <vt:lpstr>άνεργοι κατά οικ. δραστ.1.2018</vt:lpstr>
      <vt:lpstr>άνεργοι κατά οικ. δραστ. 2.2018</vt:lpstr>
      <vt:lpstr>άνεργοι κατά οικ. δρστ. 3.2018</vt:lpstr>
      <vt:lpstr>άνεργοι κατά οικ. δραστ. 4.2018</vt:lpstr>
      <vt:lpstr>άνεργοι κατά οικ. δραστ. 5.2018</vt:lpstr>
      <vt:lpstr>άνεργοι κατά οικ. δρ. 6.2018</vt:lpstr>
      <vt:lpstr>άνεργοι κατά οικ. δρ. 7.2018</vt:lpstr>
      <vt:lpstr>άνεργοι κατά οικ. δρ. 8.18</vt:lpstr>
      <vt:lpstr>ανεργοι κατά οικ. δρ.9.18</vt:lpstr>
      <vt:lpstr>ανεργοι κατά οικ. δρ.10.18</vt:lpstr>
      <vt:lpstr>ανεργοι κατά οικ. δρ.11.18</vt:lpstr>
      <vt:lpstr>ανεργοι κατά οικ. δρ.12.18</vt:lpstr>
      <vt:lpstr>'δικ, ποσό πληρ. κατά μήνα 11-18'!Print_Area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2019-09-02T08:30:10Z</cp:lastPrinted>
  <dcterms:created xsi:type="dcterms:W3CDTF">1999-12-20T10:51:55Z</dcterms:created>
  <dcterms:modified xsi:type="dcterms:W3CDTF">2019-09-02T08:30:19Z</dcterms:modified>
</cp:coreProperties>
</file>